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jbaker\Documents\PA\deptprofiles\"/>
    </mc:Choice>
  </mc:AlternateContent>
  <bookViews>
    <workbookView xWindow="0" yWindow="0" windowWidth="9525" windowHeight="10575" tabRatio="645" firstSheet="6" activeTab="6"/>
  </bookViews>
  <sheets>
    <sheet name="Dean_HE" sheetId="1" state="hidden" r:id="rId1"/>
    <sheet name="ATID" sheetId="2" state="hidden" r:id="rId2"/>
    <sheet name="HMD" sheetId="3" state="hidden" r:id="rId3"/>
    <sheet name="Human Nutrition" sheetId="5" state="hidden" r:id="rId4"/>
    <sheet name="FSHS" sheetId="4" state="hidden" r:id="rId5"/>
    <sheet name="Kinesiology" sheetId="9" state="hidden" r:id="rId6"/>
    <sheet name="HE Summary" sheetId="8" r:id="rId7"/>
  </sheets>
  <definedNames>
    <definedName name="_xlnm.Print_Area" localSheetId="1">ATID!$A$1:$AC$114</definedName>
    <definedName name="_xlnm.Print_Area" localSheetId="0">Dean_HE!$A$1:$AD$121</definedName>
    <definedName name="_xlnm.Print_Area" localSheetId="4">FSHS!$A$1:$AC$130</definedName>
    <definedName name="_xlnm.Print_Area" localSheetId="6">'HE Summary'!$A$1:$Z$118</definedName>
    <definedName name="_xlnm.Print_Area" localSheetId="2">HMD!$A$1:$AC$117</definedName>
    <definedName name="_xlnm.Print_Area" localSheetId="3">'Human Nutrition'!$A$1:$AC$117</definedName>
    <definedName name="_xlnm.Print_Area" localSheetId="5">Kinesiology!$A$1:$AC$114</definedName>
    <definedName name="_xlnm.Print_Titles" localSheetId="1">ATID!$1:$3</definedName>
    <definedName name="_xlnm.Print_Titles" localSheetId="0">Dean_HE!$1:$3</definedName>
    <definedName name="_xlnm.Print_Titles" localSheetId="4">FSHS!$1:$3</definedName>
    <definedName name="_xlnm.Print_Titles" localSheetId="6">'HE Summary'!$1:$1</definedName>
    <definedName name="_xlnm.Print_Titles" localSheetId="2">HMD!$1:$3</definedName>
    <definedName name="_xlnm.Print_Titles" localSheetId="3">'Human Nutrition'!$1:$2</definedName>
    <definedName name="_xlnm.Print_Titles" localSheetId="5">Kinesiology!$1:$4</definedName>
  </definedNames>
  <calcPr calcId="152511"/>
</workbook>
</file>

<file path=xl/calcChain.xml><?xml version="1.0" encoding="utf-8"?>
<calcChain xmlns="http://schemas.openxmlformats.org/spreadsheetml/2006/main">
  <c r="Y94" i="8" l="1"/>
  <c r="Z94" i="8" s="1"/>
  <c r="Y93" i="8"/>
  <c r="Z93" i="8" s="1"/>
  <c r="Z92" i="8"/>
  <c r="Y92" i="8"/>
  <c r="Y91" i="8"/>
  <c r="Z91" i="8" s="1"/>
  <c r="Y89" i="8"/>
  <c r="Z89" i="8" s="1"/>
  <c r="Y88" i="8"/>
  <c r="Z88" i="8" s="1"/>
  <c r="Z87" i="8"/>
  <c r="Y87" i="8"/>
  <c r="Y85" i="8"/>
  <c r="Z85" i="8" s="1"/>
  <c r="Y84" i="8"/>
  <c r="Z84" i="8" s="1"/>
  <c r="Y82" i="8"/>
  <c r="Z82" i="8" s="1"/>
  <c r="Y81" i="8"/>
  <c r="Z81" i="8" s="1"/>
  <c r="Y80" i="8"/>
  <c r="Z80" i="8" s="1"/>
  <c r="Y79" i="8"/>
  <c r="Z79" i="8" s="1"/>
  <c r="Y78" i="8"/>
  <c r="Z78" i="8" s="1"/>
  <c r="Z77" i="8"/>
  <c r="Y77" i="8"/>
  <c r="Y76" i="8"/>
  <c r="Z76" i="8" s="1"/>
  <c r="Y75" i="8"/>
  <c r="Z75" i="8" s="1"/>
  <c r="AB97" i="8" l="1"/>
  <c r="X49" i="9" l="1"/>
  <c r="T59" i="8" l="1"/>
  <c r="V59" i="8"/>
  <c r="X60" i="8"/>
  <c r="AC60" i="8" s="1"/>
  <c r="X59" i="8"/>
  <c r="AC46" i="8"/>
  <c r="AC57" i="9"/>
  <c r="AC56" i="9"/>
  <c r="AC48" i="9"/>
  <c r="AC73" i="4"/>
  <c r="AC72" i="4"/>
  <c r="AC66" i="4"/>
  <c r="AC65" i="4"/>
  <c r="AC60" i="5"/>
  <c r="AC59" i="5"/>
  <c r="AC51" i="5"/>
  <c r="AC50" i="5"/>
  <c r="AC60" i="3"/>
  <c r="AC59" i="3"/>
  <c r="AC51" i="3"/>
  <c r="AC50" i="3"/>
  <c r="AC58" i="2"/>
  <c r="AC57" i="2"/>
  <c r="AC49" i="2"/>
  <c r="AC48" i="2"/>
  <c r="X63" i="1"/>
  <c r="AC64" i="1"/>
  <c r="AC63" i="1"/>
  <c r="AC55" i="1"/>
  <c r="AC54" i="1"/>
  <c r="AC59" i="8" l="1"/>
  <c r="X47" i="8"/>
  <c r="AC47" i="8" s="1"/>
  <c r="X46" i="8"/>
  <c r="Y9" i="8" l="1"/>
  <c r="AC20" i="1" l="1"/>
  <c r="AC19" i="1"/>
  <c r="AC16" i="1"/>
  <c r="AC15" i="1"/>
  <c r="AC14" i="1"/>
  <c r="AC13" i="1"/>
  <c r="AC12" i="1"/>
  <c r="AC18" i="1"/>
  <c r="Y15" i="8" l="1"/>
  <c r="X55" i="8"/>
  <c r="W55" i="8"/>
  <c r="X51" i="8"/>
  <c r="W51" i="8"/>
  <c r="W53" i="8" l="1"/>
  <c r="X53" i="8"/>
  <c r="W57" i="8"/>
  <c r="X57" i="8"/>
  <c r="X25" i="8"/>
  <c r="X24" i="8"/>
  <c r="X23" i="8"/>
  <c r="X22" i="8"/>
  <c r="X21" i="8"/>
  <c r="P21" i="8"/>
  <c r="P25" i="8" s="1"/>
  <c r="P22" i="8"/>
  <c r="P23" i="8"/>
  <c r="P24" i="8"/>
  <c r="R21" i="8"/>
  <c r="T21" i="8"/>
  <c r="V21" i="8"/>
  <c r="R22" i="8"/>
  <c r="T22" i="8"/>
  <c r="V22" i="8"/>
  <c r="V25" i="8" s="1"/>
  <c r="R23" i="8"/>
  <c r="T23" i="8"/>
  <c r="V23" i="8"/>
  <c r="R24" i="8"/>
  <c r="T24" i="8"/>
  <c r="V24" i="8"/>
  <c r="R25" i="8"/>
  <c r="T25" i="8"/>
  <c r="X27" i="9"/>
  <c r="X28" i="5"/>
  <c r="X29" i="3"/>
  <c r="X44" i="4"/>
  <c r="X27" i="2"/>
  <c r="X9" i="8" l="1"/>
  <c r="X12" i="8"/>
  <c r="X10" i="8"/>
  <c r="X14" i="2"/>
  <c r="X11" i="5"/>
  <c r="X15" i="8" l="1"/>
  <c r="X14" i="8"/>
  <c r="X13" i="8"/>
  <c r="X12" i="9"/>
  <c r="AC102" i="1" l="1"/>
  <c r="AB102" i="1"/>
  <c r="AC101" i="1"/>
  <c r="AB101" i="1"/>
  <c r="AC100" i="1"/>
  <c r="AB100" i="1"/>
  <c r="AB97" i="1"/>
  <c r="AB96" i="1"/>
  <c r="AB95" i="1"/>
  <c r="AB94" i="1"/>
  <c r="AB92" i="1"/>
  <c r="AB91" i="1"/>
  <c r="AB90" i="1"/>
  <c r="AB88" i="1"/>
  <c r="AB87" i="1"/>
  <c r="AB85" i="1"/>
  <c r="AB84" i="1"/>
  <c r="AB83" i="1"/>
  <c r="AB82" i="1"/>
  <c r="AB81" i="1"/>
  <c r="AB80" i="1"/>
  <c r="AB79" i="1"/>
  <c r="AB78" i="1"/>
  <c r="AC75" i="1"/>
  <c r="AC74" i="1"/>
  <c r="AC72" i="1"/>
  <c r="AC71" i="1"/>
  <c r="AC60" i="1"/>
  <c r="AB60" i="1"/>
  <c r="AC58" i="1"/>
  <c r="AB58" i="1"/>
  <c r="AC50" i="1"/>
  <c r="AC48" i="1"/>
  <c r="AC45" i="1"/>
  <c r="AC44" i="1"/>
  <c r="AC43" i="1"/>
  <c r="AC36" i="1"/>
  <c r="AC35" i="1"/>
  <c r="AC32" i="1"/>
  <c r="AC31" i="1"/>
  <c r="AC30" i="1"/>
  <c r="AC29" i="1"/>
  <c r="AB23" i="1"/>
  <c r="AB22" i="1"/>
  <c r="AB20" i="1"/>
  <c r="AB19" i="1"/>
  <c r="AB18" i="1"/>
  <c r="AB14" i="1"/>
  <c r="AB13" i="1"/>
  <c r="AB12" i="1"/>
  <c r="AC96" i="2"/>
  <c r="AB96" i="2"/>
  <c r="AC95" i="2"/>
  <c r="AB95" i="2"/>
  <c r="AC94" i="2"/>
  <c r="AB94" i="2"/>
  <c r="AB91" i="2"/>
  <c r="AB90" i="2"/>
  <c r="AB89" i="2"/>
  <c r="AB88" i="2"/>
  <c r="AB86" i="2"/>
  <c r="AB85" i="2"/>
  <c r="AB84" i="2"/>
  <c r="AB82" i="2"/>
  <c r="AB81" i="2"/>
  <c r="AB79" i="2"/>
  <c r="AB78" i="2"/>
  <c r="AB77" i="2"/>
  <c r="AB76" i="2"/>
  <c r="AB75" i="2"/>
  <c r="AB74" i="2"/>
  <c r="AB73" i="2"/>
  <c r="AB72" i="2"/>
  <c r="AC69" i="2"/>
  <c r="AC68" i="2"/>
  <c r="AC66" i="2"/>
  <c r="AC65" i="2"/>
  <c r="AC54" i="2"/>
  <c r="AB54" i="2"/>
  <c r="AC52" i="2"/>
  <c r="AB52" i="2"/>
  <c r="AC44" i="2"/>
  <c r="AC42" i="2"/>
  <c r="AC39" i="2"/>
  <c r="AC37" i="2"/>
  <c r="AC30" i="2"/>
  <c r="AC29" i="2"/>
  <c r="AC27" i="2"/>
  <c r="AC26" i="2"/>
  <c r="AC25" i="2"/>
  <c r="AC24" i="2"/>
  <c r="AC23" i="2"/>
  <c r="AC17" i="2"/>
  <c r="AB17" i="2"/>
  <c r="AB15" i="2"/>
  <c r="AB14" i="2"/>
  <c r="AB13" i="2"/>
  <c r="AC15" i="2"/>
  <c r="AC14" i="2"/>
  <c r="AC13" i="2"/>
  <c r="AC12" i="2"/>
  <c r="AB12" i="2"/>
  <c r="AC111" i="4"/>
  <c r="AB111" i="4"/>
  <c r="AC110" i="4"/>
  <c r="AB110" i="4"/>
  <c r="AC109" i="4"/>
  <c r="AB109" i="4"/>
  <c r="AB106" i="4"/>
  <c r="AB105" i="4"/>
  <c r="AB104" i="4"/>
  <c r="AB103" i="4"/>
  <c r="AB101" i="4"/>
  <c r="AB100" i="4"/>
  <c r="AB99" i="4"/>
  <c r="AB97" i="4"/>
  <c r="AB96" i="4"/>
  <c r="AB94" i="4"/>
  <c r="AB93" i="4"/>
  <c r="AB92" i="4"/>
  <c r="AB91" i="4"/>
  <c r="AB90" i="4"/>
  <c r="AB89" i="4"/>
  <c r="AB88" i="4"/>
  <c r="AB87" i="4"/>
  <c r="AC84" i="4"/>
  <c r="AC83" i="4"/>
  <c r="AC81" i="4"/>
  <c r="AC80" i="4"/>
  <c r="AC70" i="4"/>
  <c r="AB70" i="4"/>
  <c r="AC69" i="4"/>
  <c r="AB69" i="4"/>
  <c r="AC62" i="4"/>
  <c r="AC61" i="4"/>
  <c r="AC59" i="4"/>
  <c r="AC56" i="4"/>
  <c r="AC54" i="4"/>
  <c r="AC48" i="4"/>
  <c r="AC47" i="4"/>
  <c r="AC46" i="4"/>
  <c r="AC44" i="4"/>
  <c r="AC43" i="4"/>
  <c r="AC42" i="4"/>
  <c r="AC41" i="4"/>
  <c r="AC40" i="4"/>
  <c r="AC34" i="4"/>
  <c r="AB34" i="4"/>
  <c r="AC31" i="4"/>
  <c r="AB31" i="4"/>
  <c r="AC30" i="4"/>
  <c r="AB30" i="4"/>
  <c r="AC26" i="4"/>
  <c r="AB26" i="4"/>
  <c r="AC25" i="4"/>
  <c r="AB25" i="4"/>
  <c r="AB23" i="4"/>
  <c r="AC21" i="4"/>
  <c r="AB21" i="4"/>
  <c r="AC18" i="4"/>
  <c r="AB18" i="4"/>
  <c r="AC16" i="4"/>
  <c r="AC15" i="4"/>
  <c r="AC14" i="4"/>
  <c r="AC13" i="4"/>
  <c r="AC12" i="4"/>
  <c r="AB16" i="4"/>
  <c r="AB15" i="4"/>
  <c r="AB14" i="4"/>
  <c r="AB13" i="4"/>
  <c r="AB12" i="4"/>
  <c r="AC98" i="3"/>
  <c r="AB98" i="3"/>
  <c r="AC97" i="3"/>
  <c r="AB97" i="3"/>
  <c r="AC96" i="3"/>
  <c r="AB96" i="3"/>
  <c r="AB93" i="3"/>
  <c r="AB92" i="3"/>
  <c r="AB91" i="3"/>
  <c r="AB90" i="3"/>
  <c r="AB88" i="3"/>
  <c r="AB87" i="3"/>
  <c r="AB86" i="3"/>
  <c r="AB84" i="3"/>
  <c r="AB83" i="3"/>
  <c r="AB81" i="3"/>
  <c r="AB80" i="3"/>
  <c r="AB79" i="3"/>
  <c r="AB78" i="3"/>
  <c r="AB77" i="3"/>
  <c r="AB76" i="3"/>
  <c r="AB75" i="3"/>
  <c r="AB74" i="3"/>
  <c r="AC71" i="3"/>
  <c r="AC70" i="3"/>
  <c r="AC68" i="3"/>
  <c r="AC67" i="3"/>
  <c r="AC56" i="3"/>
  <c r="AB56" i="3"/>
  <c r="AC54" i="3"/>
  <c r="AB54" i="3"/>
  <c r="AC47" i="3"/>
  <c r="AC44" i="3"/>
  <c r="AC42" i="3"/>
  <c r="AC41" i="3"/>
  <c r="AC39" i="3"/>
  <c r="AC32" i="3"/>
  <c r="AC31" i="3"/>
  <c r="AC29" i="3"/>
  <c r="AC28" i="3"/>
  <c r="AC27" i="3"/>
  <c r="AC26" i="3"/>
  <c r="AC25" i="3"/>
  <c r="AC19" i="3"/>
  <c r="AB19" i="3"/>
  <c r="AC17" i="3"/>
  <c r="AB17" i="3"/>
  <c r="AC16" i="3"/>
  <c r="AB16" i="3"/>
  <c r="AC14" i="3"/>
  <c r="AB14" i="3"/>
  <c r="AC12" i="3"/>
  <c r="AB12" i="3"/>
  <c r="AC98" i="5"/>
  <c r="AB98" i="5"/>
  <c r="AC97" i="5"/>
  <c r="AB97" i="5"/>
  <c r="AC96" i="5"/>
  <c r="AB96" i="5"/>
  <c r="AB93" i="5"/>
  <c r="AB92" i="5"/>
  <c r="AB91" i="5"/>
  <c r="AB90" i="5"/>
  <c r="AB88" i="5"/>
  <c r="AB87" i="5"/>
  <c r="AB86" i="5"/>
  <c r="AB84" i="5"/>
  <c r="AB83" i="5"/>
  <c r="AB81" i="5"/>
  <c r="AB80" i="5"/>
  <c r="AB79" i="5"/>
  <c r="AB78" i="5"/>
  <c r="AB77" i="5"/>
  <c r="AB76" i="5"/>
  <c r="AB75" i="5"/>
  <c r="AB74" i="5"/>
  <c r="AC71" i="5"/>
  <c r="AC70" i="5"/>
  <c r="AC68" i="5"/>
  <c r="AC67" i="5"/>
  <c r="AC56" i="5"/>
  <c r="AB56" i="5"/>
  <c r="AC54" i="5"/>
  <c r="AB54" i="5"/>
  <c r="AC47" i="5"/>
  <c r="AC46" i="5"/>
  <c r="AC45" i="5"/>
  <c r="AC43" i="5"/>
  <c r="AC40" i="5"/>
  <c r="AC38" i="5"/>
  <c r="AC31" i="5"/>
  <c r="AC30" i="5"/>
  <c r="AC28" i="5"/>
  <c r="AC27" i="5"/>
  <c r="AC26" i="5"/>
  <c r="AC25" i="5"/>
  <c r="AC24" i="5"/>
  <c r="AC16" i="5"/>
  <c r="AB16" i="5"/>
  <c r="AC15" i="5"/>
  <c r="AB15" i="5"/>
  <c r="AB13" i="5"/>
  <c r="AB12" i="5"/>
  <c r="AC13" i="5"/>
  <c r="AC12" i="5"/>
  <c r="AC11" i="5"/>
  <c r="AB11" i="5"/>
  <c r="AC95" i="9"/>
  <c r="AB95" i="9"/>
  <c r="AC94" i="9"/>
  <c r="AB94" i="9"/>
  <c r="AC93" i="9"/>
  <c r="AB93" i="9"/>
  <c r="AB90" i="9"/>
  <c r="AB89" i="9"/>
  <c r="AB88" i="9"/>
  <c r="AB87" i="9"/>
  <c r="AB85" i="9"/>
  <c r="AB84" i="9"/>
  <c r="AB83" i="9"/>
  <c r="AB81" i="9"/>
  <c r="AB80" i="9"/>
  <c r="AB78" i="9"/>
  <c r="AB77" i="9"/>
  <c r="AB76" i="9"/>
  <c r="AB75" i="9"/>
  <c r="AB74" i="9"/>
  <c r="AB73" i="9"/>
  <c r="AB72" i="9"/>
  <c r="AB71" i="9"/>
  <c r="AC68" i="9"/>
  <c r="AC67" i="9"/>
  <c r="AC65" i="9"/>
  <c r="AC64" i="9"/>
  <c r="AC53" i="9"/>
  <c r="AB53" i="9"/>
  <c r="AC51" i="9"/>
  <c r="AB51" i="9"/>
  <c r="AC45" i="9"/>
  <c r="AC44" i="9"/>
  <c r="AC42" i="9"/>
  <c r="AC39" i="9"/>
  <c r="AC37" i="9"/>
  <c r="AC31" i="9"/>
  <c r="AC30" i="9"/>
  <c r="AC29" i="9"/>
  <c r="AC27" i="9"/>
  <c r="AC26" i="9"/>
  <c r="AC25" i="9"/>
  <c r="AC24" i="9"/>
  <c r="AC23" i="9"/>
  <c r="AC16" i="9"/>
  <c r="AB16" i="9"/>
  <c r="AB14" i="9"/>
  <c r="AC14" i="9"/>
  <c r="AC13" i="9"/>
  <c r="AC12" i="9"/>
  <c r="AB12" i="9"/>
  <c r="AC57" i="8"/>
  <c r="AB57" i="8"/>
  <c r="AC55" i="8"/>
  <c r="AB55" i="8"/>
  <c r="AC53" i="8"/>
  <c r="AB53" i="8"/>
  <c r="AC51" i="8"/>
  <c r="AB51" i="8"/>
  <c r="AC36" i="8"/>
  <c r="AC28" i="8"/>
  <c r="AC27" i="8"/>
  <c r="AC25" i="8"/>
  <c r="AC24" i="8"/>
  <c r="AC23" i="8"/>
  <c r="AC22" i="8"/>
  <c r="AC21" i="8"/>
  <c r="AC14" i="8"/>
  <c r="AC12" i="8"/>
  <c r="AC10" i="8"/>
  <c r="Z37" i="8"/>
  <c r="AC37" i="8" s="1"/>
  <c r="W72" i="2"/>
  <c r="W82" i="2"/>
  <c r="Z31" i="2"/>
  <c r="AC31" i="2" s="1"/>
  <c r="Z40" i="2"/>
  <c r="AC40" i="2" s="1"/>
  <c r="Z45" i="2"/>
  <c r="Z46" i="2" s="1"/>
  <c r="AC46" i="2" s="1"/>
  <c r="Z70" i="2"/>
  <c r="Z72" i="2" s="1"/>
  <c r="AC72" i="2" s="1"/>
  <c r="Z48" i="4"/>
  <c r="Z57" i="4"/>
  <c r="AC57" i="4" s="1"/>
  <c r="Z62" i="4"/>
  <c r="Z85" i="4"/>
  <c r="Z97" i="4" s="1"/>
  <c r="AC97" i="4" s="1"/>
  <c r="Z33" i="3"/>
  <c r="AC33" i="3" s="1"/>
  <c r="Z42" i="3"/>
  <c r="Z47" i="3"/>
  <c r="Z72" i="3"/>
  <c r="Z74" i="3" s="1"/>
  <c r="AC74" i="3" s="1"/>
  <c r="Z32" i="5"/>
  <c r="AC32" i="5" s="1"/>
  <c r="Z41" i="5"/>
  <c r="AC41" i="5" s="1"/>
  <c r="Z46" i="5"/>
  <c r="Z72" i="5"/>
  <c r="Z74" i="5" s="1"/>
  <c r="AC74" i="5" s="1"/>
  <c r="Z77" i="5"/>
  <c r="AC77" i="5" s="1"/>
  <c r="Z81" i="5"/>
  <c r="AC81" i="5" s="1"/>
  <c r="Y31" i="9"/>
  <c r="AB31" i="9" s="1"/>
  <c r="Z40" i="9"/>
  <c r="Z46" i="9" s="1"/>
  <c r="AC46" i="9" s="1"/>
  <c r="Z45" i="9"/>
  <c r="Z69" i="9"/>
  <c r="Z71" i="9" s="1"/>
  <c r="AC71" i="9" s="1"/>
  <c r="Z72" i="9"/>
  <c r="AC72" i="9" s="1"/>
  <c r="Y10" i="8"/>
  <c r="AB10" i="8" s="1"/>
  <c r="Y11" i="8"/>
  <c r="AB11" i="8" s="1"/>
  <c r="Y12" i="8"/>
  <c r="AB12" i="8" s="1"/>
  <c r="Y13" i="8"/>
  <c r="Y14" i="8"/>
  <c r="Z29" i="8"/>
  <c r="AC29" i="8" s="1"/>
  <c r="Z35" i="8"/>
  <c r="AC35" i="8" s="1"/>
  <c r="Z36" i="8"/>
  <c r="Z40" i="8"/>
  <c r="AC40" i="8" s="1"/>
  <c r="Z41" i="8"/>
  <c r="AC41" i="8" s="1"/>
  <c r="Z42" i="8"/>
  <c r="AC42" i="8" s="1"/>
  <c r="Z68" i="8"/>
  <c r="AC68" i="8" s="1"/>
  <c r="Z69" i="8"/>
  <c r="AC69" i="8" s="1"/>
  <c r="Z71" i="8"/>
  <c r="AC71" i="8" s="1"/>
  <c r="Z72" i="8"/>
  <c r="AC72" i="8" s="1"/>
  <c r="AB76" i="8"/>
  <c r="AB77" i="8"/>
  <c r="AB78" i="8"/>
  <c r="AB79" i="8"/>
  <c r="AB80" i="8"/>
  <c r="AB81" i="8"/>
  <c r="AB82" i="8"/>
  <c r="AB88" i="8"/>
  <c r="AB89" i="8"/>
  <c r="AB91" i="8"/>
  <c r="AB92" i="8"/>
  <c r="AB93" i="8"/>
  <c r="AB94" i="8"/>
  <c r="Y97" i="8"/>
  <c r="Z97" i="8"/>
  <c r="AC97" i="8" s="1"/>
  <c r="Y98" i="8"/>
  <c r="AB98" i="8" s="1"/>
  <c r="Z98" i="8"/>
  <c r="AC98" i="8" s="1"/>
  <c r="Y99" i="8"/>
  <c r="AB99" i="8" s="1"/>
  <c r="Z99" i="8"/>
  <c r="AC99" i="8" s="1"/>
  <c r="Z33" i="1"/>
  <c r="Z37" i="1"/>
  <c r="AC37" i="1" s="1"/>
  <c r="Z46" i="1"/>
  <c r="AC46" i="1" s="1"/>
  <c r="Z51" i="1"/>
  <c r="AC51" i="1" s="1"/>
  <c r="Z76" i="1"/>
  <c r="Z78" i="1" s="1"/>
  <c r="AC78" i="1" s="1"/>
  <c r="Z87" i="9" l="1"/>
  <c r="AC87" i="9" s="1"/>
  <c r="Z84" i="9"/>
  <c r="AC84" i="9" s="1"/>
  <c r="Z78" i="9"/>
  <c r="AC78" i="9" s="1"/>
  <c r="Z76" i="9"/>
  <c r="AC76" i="9" s="1"/>
  <c r="Z89" i="9"/>
  <c r="AC89" i="9" s="1"/>
  <c r="AC69" i="9"/>
  <c r="Z81" i="9"/>
  <c r="AC81" i="9" s="1"/>
  <c r="Z74" i="9"/>
  <c r="AC74" i="9" s="1"/>
  <c r="Z90" i="4"/>
  <c r="AC90" i="4" s="1"/>
  <c r="Z88" i="4"/>
  <c r="AC88" i="4" s="1"/>
  <c r="AC85" i="4"/>
  <c r="Z99" i="4"/>
  <c r="AC99" i="4" s="1"/>
  <c r="Z94" i="4"/>
  <c r="AC94" i="4" s="1"/>
  <c r="Z106" i="4"/>
  <c r="AC106" i="4" s="1"/>
  <c r="Z92" i="4"/>
  <c r="AC92" i="4" s="1"/>
  <c r="Z104" i="4"/>
  <c r="AC104" i="4" s="1"/>
  <c r="Z101" i="4"/>
  <c r="AC101" i="4" s="1"/>
  <c r="AC72" i="5"/>
  <c r="Z92" i="5"/>
  <c r="AC92" i="5" s="1"/>
  <c r="Z87" i="5"/>
  <c r="AC87" i="5" s="1"/>
  <c r="AC72" i="3"/>
  <c r="Z92" i="3"/>
  <c r="AC92" i="3" s="1"/>
  <c r="Z87" i="3"/>
  <c r="AC87" i="3" s="1"/>
  <c r="Z81" i="3"/>
  <c r="AC81" i="3" s="1"/>
  <c r="Z77" i="3"/>
  <c r="AC77" i="3" s="1"/>
  <c r="Z73" i="2"/>
  <c r="AC73" i="2" s="1"/>
  <c r="Z75" i="2"/>
  <c r="AC75" i="2" s="1"/>
  <c r="Z88" i="2"/>
  <c r="AC88" i="2" s="1"/>
  <c r="Z82" i="2"/>
  <c r="AC82" i="2" s="1"/>
  <c r="AC70" i="2"/>
  <c r="Z90" i="2"/>
  <c r="AC90" i="2" s="1"/>
  <c r="Z79" i="2"/>
  <c r="AC79" i="2" s="1"/>
  <c r="Z85" i="2"/>
  <c r="AC85" i="2" s="1"/>
  <c r="Z77" i="2"/>
  <c r="AC77" i="2" s="1"/>
  <c r="Z96" i="1"/>
  <c r="AC96" i="1" s="1"/>
  <c r="Z85" i="1"/>
  <c r="AC85" i="1" s="1"/>
  <c r="AC76" i="1"/>
  <c r="AC40" i="9"/>
  <c r="Z63" i="4"/>
  <c r="AC63" i="4" s="1"/>
  <c r="AC45" i="2"/>
  <c r="Z90" i="9"/>
  <c r="AC90" i="9" s="1"/>
  <c r="Z88" i="9"/>
  <c r="AC88" i="9" s="1"/>
  <c r="Z85" i="9"/>
  <c r="AC85" i="9" s="1"/>
  <c r="Z83" i="9"/>
  <c r="AC83" i="9" s="1"/>
  <c r="Z80" i="9"/>
  <c r="AC80" i="9" s="1"/>
  <c r="Z77" i="9"/>
  <c r="AC77" i="9" s="1"/>
  <c r="Z75" i="9"/>
  <c r="AC75" i="9" s="1"/>
  <c r="Z73" i="9"/>
  <c r="AC73" i="9" s="1"/>
  <c r="Z90" i="3"/>
  <c r="AC90" i="3" s="1"/>
  <c r="Z84" i="3"/>
  <c r="AC84" i="3" s="1"/>
  <c r="Z79" i="3"/>
  <c r="AC79" i="3" s="1"/>
  <c r="Z75" i="3"/>
  <c r="AC75" i="3" s="1"/>
  <c r="Z48" i="3"/>
  <c r="AC48" i="3" s="1"/>
  <c r="Z105" i="4"/>
  <c r="AC105" i="4" s="1"/>
  <c r="Z103" i="4"/>
  <c r="AC103" i="4" s="1"/>
  <c r="Z100" i="4"/>
  <c r="AC100" i="4" s="1"/>
  <c r="Z96" i="4"/>
  <c r="AC96" i="4" s="1"/>
  <c r="Z93" i="4"/>
  <c r="AC93" i="4" s="1"/>
  <c r="Z91" i="4"/>
  <c r="AC91" i="4" s="1"/>
  <c r="Z89" i="4"/>
  <c r="AC89" i="4" s="1"/>
  <c r="Z87" i="4"/>
  <c r="AC87" i="4" s="1"/>
  <c r="Z91" i="2"/>
  <c r="AC91" i="2" s="1"/>
  <c r="Z89" i="2"/>
  <c r="AC89" i="2" s="1"/>
  <c r="Z86" i="2"/>
  <c r="AC86" i="2" s="1"/>
  <c r="Z84" i="2"/>
  <c r="AC84" i="2" s="1"/>
  <c r="Z81" i="2"/>
  <c r="AC81" i="2" s="1"/>
  <c r="Z78" i="2"/>
  <c r="AC78" i="2" s="1"/>
  <c r="Z76" i="2"/>
  <c r="AC76" i="2" s="1"/>
  <c r="Z74" i="2"/>
  <c r="AC74" i="2" s="1"/>
  <c r="Z91" i="1"/>
  <c r="AC91" i="1" s="1"/>
  <c r="Z81" i="1"/>
  <c r="AC81" i="1" s="1"/>
  <c r="Z94" i="1"/>
  <c r="AC94" i="1" s="1"/>
  <c r="Z88" i="1"/>
  <c r="AC88" i="1" s="1"/>
  <c r="Z83" i="1"/>
  <c r="AC83" i="1" s="1"/>
  <c r="Z79" i="1"/>
  <c r="AC79" i="1" s="1"/>
  <c r="Z52" i="1"/>
  <c r="AC52" i="1" s="1"/>
  <c r="Z93" i="3"/>
  <c r="AC93" i="3" s="1"/>
  <c r="Z91" i="3"/>
  <c r="AC91" i="3" s="1"/>
  <c r="Z88" i="3"/>
  <c r="AC88" i="3" s="1"/>
  <c r="Z86" i="3"/>
  <c r="AC86" i="3" s="1"/>
  <c r="Z83" i="3"/>
  <c r="AC83" i="3" s="1"/>
  <c r="Z80" i="3"/>
  <c r="AC80" i="3" s="1"/>
  <c r="Z78" i="3"/>
  <c r="AC78" i="3" s="1"/>
  <c r="Z76" i="3"/>
  <c r="AC76" i="3" s="1"/>
  <c r="Z38" i="8"/>
  <c r="AC38" i="8" s="1"/>
  <c r="Z90" i="5"/>
  <c r="AC90" i="5" s="1"/>
  <c r="Z84" i="5"/>
  <c r="AC84" i="5" s="1"/>
  <c r="Z79" i="5"/>
  <c r="AC79" i="5" s="1"/>
  <c r="Z75" i="5"/>
  <c r="AC75" i="5" s="1"/>
  <c r="Z48" i="5"/>
  <c r="AC48" i="5" s="1"/>
  <c r="Z73" i="8"/>
  <c r="Z43" i="8"/>
  <c r="AC43" i="8" s="1"/>
  <c r="Z97" i="1"/>
  <c r="AC97" i="1" s="1"/>
  <c r="Z95" i="1"/>
  <c r="AC95" i="1" s="1"/>
  <c r="Z92" i="1"/>
  <c r="AC92" i="1" s="1"/>
  <c r="Z90" i="1"/>
  <c r="AC90" i="1" s="1"/>
  <c r="Z87" i="1"/>
  <c r="AC87" i="1" s="1"/>
  <c r="Z84" i="1"/>
  <c r="AC84" i="1" s="1"/>
  <c r="Z82" i="1"/>
  <c r="AC82" i="1" s="1"/>
  <c r="Z80" i="1"/>
  <c r="AC80" i="1" s="1"/>
  <c r="AB85" i="8"/>
  <c r="AB84" i="8"/>
  <c r="AB75" i="8"/>
  <c r="Z93" i="5"/>
  <c r="AC93" i="5" s="1"/>
  <c r="Z91" i="5"/>
  <c r="AC91" i="5" s="1"/>
  <c r="Z88" i="5"/>
  <c r="AC88" i="5" s="1"/>
  <c r="Z86" i="5"/>
  <c r="AC86" i="5" s="1"/>
  <c r="Z83" i="5"/>
  <c r="AC83" i="5" s="1"/>
  <c r="Z80" i="5"/>
  <c r="AC80" i="5" s="1"/>
  <c r="Z78" i="5"/>
  <c r="AC78" i="5" s="1"/>
  <c r="Z76" i="5"/>
  <c r="AC76" i="5" s="1"/>
  <c r="W99" i="8"/>
  <c r="W98" i="8"/>
  <c r="X99" i="8"/>
  <c r="X98" i="8"/>
  <c r="X97" i="8"/>
  <c r="W97" i="8"/>
  <c r="AC87" i="8" l="1"/>
  <c r="AB87" i="8"/>
  <c r="AC94" i="8"/>
  <c r="AC73" i="8"/>
  <c r="AC84" i="8"/>
  <c r="Z44" i="8"/>
  <c r="AC44" i="8" s="1"/>
  <c r="AC79" i="8"/>
  <c r="AC88" i="8"/>
  <c r="AC93" i="8"/>
  <c r="AC78" i="8"/>
  <c r="AC82" i="8"/>
  <c r="AC92" i="8"/>
  <c r="AC75" i="8"/>
  <c r="AC85" i="8"/>
  <c r="AC77" i="8"/>
  <c r="AC81" i="8"/>
  <c r="AC91" i="8"/>
  <c r="AC76" i="8"/>
  <c r="AC80" i="8"/>
  <c r="AC89" i="8"/>
  <c r="W94" i="8"/>
  <c r="W93" i="8"/>
  <c r="W88" i="8"/>
  <c r="W84" i="8"/>
  <c r="W82" i="8"/>
  <c r="W81" i="8"/>
  <c r="W80" i="8"/>
  <c r="W79" i="8"/>
  <c r="W78" i="8"/>
  <c r="W77" i="8"/>
  <c r="W76" i="8"/>
  <c r="X72" i="8"/>
  <c r="X71" i="8"/>
  <c r="X69" i="8"/>
  <c r="X68" i="8"/>
  <c r="W104" i="4"/>
  <c r="W103" i="4"/>
  <c r="W101" i="4"/>
  <c r="W99" i="4"/>
  <c r="W97" i="4"/>
  <c r="W96" i="4"/>
  <c r="W75" i="8" l="1"/>
  <c r="W92" i="8"/>
  <c r="W91" i="8"/>
  <c r="W85" i="8"/>
  <c r="W87" i="8"/>
  <c r="W89" i="8"/>
  <c r="V63" i="1"/>
  <c r="V60" i="8"/>
  <c r="V49" i="9" l="1"/>
  <c r="N46" i="8" l="1"/>
  <c r="P46" i="8"/>
  <c r="R46" i="8"/>
  <c r="T46" i="8"/>
  <c r="V47" i="8"/>
  <c r="V46" i="8"/>
  <c r="W16" i="9" l="1"/>
  <c r="W12" i="8" l="1"/>
  <c r="W10" i="8"/>
  <c r="AB33" i="4"/>
  <c r="AB16" i="1" l="1"/>
  <c r="AB15" i="1"/>
  <c r="W22" i="1"/>
  <c r="W9" i="8" s="1"/>
  <c r="V53" i="9" l="1"/>
  <c r="V51" i="9"/>
  <c r="V55" i="8"/>
  <c r="V57" i="8" s="1"/>
  <c r="U55" i="8"/>
  <c r="U57" i="8" s="1"/>
  <c r="V52" i="8"/>
  <c r="U52" i="8"/>
  <c r="V51" i="8"/>
  <c r="V53" i="8" s="1"/>
  <c r="U51" i="8"/>
  <c r="U53" i="8" s="1"/>
  <c r="X42" i="8" l="1"/>
  <c r="X40" i="8"/>
  <c r="X37" i="8"/>
  <c r="X36" i="8"/>
  <c r="X35" i="8"/>
  <c r="V115" i="8" l="1"/>
  <c r="V114" i="8"/>
  <c r="V106" i="8"/>
  <c r="V107" i="8" s="1"/>
  <c r="V111" i="8"/>
  <c r="V116" i="8" s="1"/>
  <c r="V111" i="9"/>
  <c r="V110" i="9"/>
  <c r="V108" i="9"/>
  <c r="V107" i="9"/>
  <c r="V112" i="9" s="1"/>
  <c r="V103" i="9"/>
  <c r="V102" i="9"/>
  <c r="V114" i="5"/>
  <c r="V113" i="5"/>
  <c r="V110" i="5"/>
  <c r="V111" i="5" s="1"/>
  <c r="V105" i="5"/>
  <c r="V106" i="5" s="1"/>
  <c r="V114" i="3"/>
  <c r="V113" i="3"/>
  <c r="V111" i="3"/>
  <c r="V110" i="3"/>
  <c r="V115" i="3" s="1"/>
  <c r="V106" i="3"/>
  <c r="V105" i="3"/>
  <c r="V127" i="4"/>
  <c r="V126" i="4"/>
  <c r="V123" i="4"/>
  <c r="V124" i="4" s="1"/>
  <c r="V118" i="4"/>
  <c r="V119" i="4" s="1"/>
  <c r="V112" i="2"/>
  <c r="V111" i="2"/>
  <c r="V109" i="2"/>
  <c r="V108" i="2"/>
  <c r="V113" i="2" s="1"/>
  <c r="V104" i="2"/>
  <c r="V103" i="2"/>
  <c r="V119" i="1"/>
  <c r="V117" i="1"/>
  <c r="V115" i="1"/>
  <c r="V114" i="1"/>
  <c r="V110" i="1"/>
  <c r="V109" i="1"/>
  <c r="V112" i="8" l="1"/>
  <c r="V117" i="8" s="1"/>
  <c r="V129" i="4"/>
  <c r="V116" i="5"/>
  <c r="V120" i="1"/>
  <c r="V114" i="2"/>
  <c r="V128" i="4"/>
  <c r="V116" i="3"/>
  <c r="V115" i="5"/>
  <c r="V113" i="9"/>
  <c r="V10" i="8"/>
  <c r="P10" i="8"/>
  <c r="R10" i="8"/>
  <c r="T10" i="8"/>
  <c r="B114" i="9"/>
  <c r="B117" i="5"/>
  <c r="B117" i="3"/>
  <c r="B115" i="2"/>
  <c r="B130" i="4"/>
  <c r="B121" i="1"/>
  <c r="V15" i="8"/>
  <c r="V14" i="8"/>
  <c r="V13" i="8"/>
  <c r="AC13" i="8" s="1"/>
  <c r="V12" i="8"/>
  <c r="V9" i="8"/>
  <c r="W11" i="8"/>
  <c r="W13" i="8"/>
  <c r="W14" i="8"/>
  <c r="AB14" i="8" s="1"/>
  <c r="W15" i="8"/>
  <c r="X29" i="8"/>
  <c r="X41" i="8"/>
  <c r="V27" i="9"/>
  <c r="W31" i="9"/>
  <c r="X40" i="9"/>
  <c r="X45" i="9"/>
  <c r="X46" i="9"/>
  <c r="X69" i="9"/>
  <c r="X71" i="9" s="1"/>
  <c r="X88" i="9"/>
  <c r="V28" i="5"/>
  <c r="X32" i="5"/>
  <c r="X41" i="5"/>
  <c r="X46" i="5"/>
  <c r="X72" i="5"/>
  <c r="V29" i="3"/>
  <c r="X33" i="3"/>
  <c r="X42" i="3"/>
  <c r="X47" i="3"/>
  <c r="X72" i="3"/>
  <c r="AC33" i="4"/>
  <c r="V44" i="4"/>
  <c r="X48" i="4"/>
  <c r="X57" i="4"/>
  <c r="X62" i="4"/>
  <c r="X63" i="4"/>
  <c r="X85" i="4"/>
  <c r="X93" i="4"/>
  <c r="X99" i="4"/>
  <c r="X100" i="4"/>
  <c r="X105" i="4"/>
  <c r="V27" i="2"/>
  <c r="X31" i="2"/>
  <c r="X40" i="2"/>
  <c r="X45" i="2"/>
  <c r="X70" i="2"/>
  <c r="X33" i="1"/>
  <c r="AC33" i="1" s="1"/>
  <c r="V33" i="1"/>
  <c r="X37" i="1"/>
  <c r="X46" i="1"/>
  <c r="X51" i="1"/>
  <c r="X76" i="1"/>
  <c r="F12" i="9"/>
  <c r="H12" i="9"/>
  <c r="J12" i="9"/>
  <c r="L12" i="9"/>
  <c r="R12" i="9"/>
  <c r="L14" i="9"/>
  <c r="D27" i="9"/>
  <c r="F27" i="9"/>
  <c r="H27" i="9"/>
  <c r="J27" i="9"/>
  <c r="L27" i="9"/>
  <c r="N27" i="9"/>
  <c r="P27" i="9"/>
  <c r="R27" i="9"/>
  <c r="T27" i="9"/>
  <c r="C31" i="9"/>
  <c r="E31" i="9"/>
  <c r="G31" i="9"/>
  <c r="I31" i="9"/>
  <c r="K31" i="9"/>
  <c r="M31" i="9"/>
  <c r="O31" i="9"/>
  <c r="Q31" i="9"/>
  <c r="S31" i="9"/>
  <c r="U31" i="9"/>
  <c r="L37" i="9"/>
  <c r="N37" i="9"/>
  <c r="D40" i="9"/>
  <c r="F40" i="9"/>
  <c r="H40" i="9"/>
  <c r="J40" i="9"/>
  <c r="L40" i="9"/>
  <c r="N40" i="9"/>
  <c r="P40" i="9"/>
  <c r="R40" i="9"/>
  <c r="T40" i="9"/>
  <c r="V40" i="9"/>
  <c r="N42" i="9"/>
  <c r="L44" i="9"/>
  <c r="L45" i="9" s="1"/>
  <c r="L46" i="9" s="1"/>
  <c r="D45" i="9"/>
  <c r="F45" i="9"/>
  <c r="F46" i="9" s="1"/>
  <c r="H45" i="9"/>
  <c r="J45" i="9"/>
  <c r="J46" i="9" s="1"/>
  <c r="N45" i="9"/>
  <c r="N46" i="9" s="1"/>
  <c r="P45" i="9"/>
  <c r="R45" i="9"/>
  <c r="R46" i="9" s="1"/>
  <c r="T45" i="9"/>
  <c r="V45" i="9"/>
  <c r="D46" i="9"/>
  <c r="H46" i="9"/>
  <c r="P46" i="9"/>
  <c r="T46" i="9"/>
  <c r="D48" i="9"/>
  <c r="L48" i="9"/>
  <c r="D49" i="9"/>
  <c r="F49" i="9"/>
  <c r="L49" i="9"/>
  <c r="N49" i="9"/>
  <c r="P49" i="9"/>
  <c r="T49" i="9"/>
  <c r="K51" i="9"/>
  <c r="L51" i="9"/>
  <c r="K53" i="9"/>
  <c r="L53" i="9"/>
  <c r="D69" i="9"/>
  <c r="D71" i="9" s="1"/>
  <c r="F69" i="9"/>
  <c r="J69" i="9"/>
  <c r="J72" i="9" s="1"/>
  <c r="L69" i="9"/>
  <c r="L71" i="9" s="1"/>
  <c r="N69" i="9"/>
  <c r="N71" i="9" s="1"/>
  <c r="P69" i="9"/>
  <c r="P71" i="9" s="1"/>
  <c r="R69" i="9"/>
  <c r="R72" i="9" s="1"/>
  <c r="T69" i="9"/>
  <c r="T71" i="9" s="1"/>
  <c r="V69" i="9"/>
  <c r="F71" i="9"/>
  <c r="H71" i="9"/>
  <c r="J71" i="9"/>
  <c r="R71" i="9"/>
  <c r="D72" i="9"/>
  <c r="F72" i="9"/>
  <c r="H72" i="9"/>
  <c r="N72" i="9"/>
  <c r="V72" i="9"/>
  <c r="F73" i="9"/>
  <c r="H73" i="9"/>
  <c r="J73" i="9"/>
  <c r="R73" i="9"/>
  <c r="D74" i="9"/>
  <c r="F74" i="9"/>
  <c r="H74" i="9"/>
  <c r="L74" i="9"/>
  <c r="P74" i="9"/>
  <c r="T74" i="9"/>
  <c r="D75" i="9"/>
  <c r="F75" i="9"/>
  <c r="H75" i="9"/>
  <c r="L75" i="9"/>
  <c r="P75" i="9"/>
  <c r="T75" i="9"/>
  <c r="D76" i="9"/>
  <c r="F76" i="9"/>
  <c r="H76" i="9"/>
  <c r="L76" i="9"/>
  <c r="P76" i="9"/>
  <c r="T76" i="9"/>
  <c r="R77" i="9"/>
  <c r="T77" i="9"/>
  <c r="V77" i="9"/>
  <c r="F78" i="9"/>
  <c r="H78" i="9"/>
  <c r="J78" i="9"/>
  <c r="L78" i="9"/>
  <c r="N78" i="9"/>
  <c r="P78" i="9"/>
  <c r="R78" i="9"/>
  <c r="T78" i="9"/>
  <c r="V78" i="9"/>
  <c r="F80" i="9"/>
  <c r="H80" i="9"/>
  <c r="J80" i="9"/>
  <c r="L80" i="9"/>
  <c r="N80" i="9"/>
  <c r="P80" i="9"/>
  <c r="R80" i="9"/>
  <c r="T80" i="9"/>
  <c r="V80" i="9"/>
  <c r="F81" i="9"/>
  <c r="H81" i="9"/>
  <c r="J81" i="9"/>
  <c r="L81" i="9"/>
  <c r="N81" i="9"/>
  <c r="P81" i="9"/>
  <c r="R81" i="9"/>
  <c r="T81" i="9"/>
  <c r="V81" i="9"/>
  <c r="F83" i="9"/>
  <c r="H83" i="9"/>
  <c r="J83" i="9"/>
  <c r="L83" i="9"/>
  <c r="N83" i="9"/>
  <c r="P83" i="9"/>
  <c r="R83" i="9"/>
  <c r="T83" i="9"/>
  <c r="V83" i="9"/>
  <c r="F84" i="9"/>
  <c r="H84" i="9"/>
  <c r="J84" i="9"/>
  <c r="L84" i="9"/>
  <c r="N84" i="9"/>
  <c r="P84" i="9"/>
  <c r="R84" i="9"/>
  <c r="T84" i="9"/>
  <c r="V84" i="9"/>
  <c r="F85" i="9"/>
  <c r="H85" i="9"/>
  <c r="J85" i="9"/>
  <c r="L85" i="9"/>
  <c r="N85" i="9"/>
  <c r="P85" i="9"/>
  <c r="R85" i="9"/>
  <c r="T85" i="9"/>
  <c r="V85" i="9"/>
  <c r="F87" i="9"/>
  <c r="H87" i="9"/>
  <c r="J87" i="9"/>
  <c r="L87" i="9"/>
  <c r="N87" i="9"/>
  <c r="P87" i="9"/>
  <c r="R87" i="9"/>
  <c r="T87" i="9"/>
  <c r="V87" i="9"/>
  <c r="F88" i="9"/>
  <c r="H88" i="9"/>
  <c r="J88" i="9"/>
  <c r="L88" i="9"/>
  <c r="N88" i="9"/>
  <c r="P88" i="9"/>
  <c r="R88" i="9"/>
  <c r="T88" i="9"/>
  <c r="V88" i="9"/>
  <c r="F89" i="9"/>
  <c r="H89" i="9"/>
  <c r="J89" i="9"/>
  <c r="L89" i="9"/>
  <c r="N89" i="9"/>
  <c r="P89" i="9"/>
  <c r="R89" i="9"/>
  <c r="T89" i="9"/>
  <c r="V89" i="9"/>
  <c r="F90" i="9"/>
  <c r="H90" i="9"/>
  <c r="J90" i="9"/>
  <c r="L90" i="9"/>
  <c r="N90" i="9"/>
  <c r="P90" i="9"/>
  <c r="R90" i="9"/>
  <c r="T90" i="9"/>
  <c r="V90" i="9"/>
  <c r="C103" i="9"/>
  <c r="I103" i="9"/>
  <c r="P103" i="9"/>
  <c r="P107" i="9"/>
  <c r="P108" i="9" s="1"/>
  <c r="P113" i="9" s="1"/>
  <c r="C108" i="9"/>
  <c r="I108" i="9"/>
  <c r="C110" i="9"/>
  <c r="I110" i="9"/>
  <c r="P110" i="9"/>
  <c r="C111" i="9"/>
  <c r="I111" i="9"/>
  <c r="P111" i="9"/>
  <c r="C112" i="9"/>
  <c r="I112" i="9"/>
  <c r="P112" i="9"/>
  <c r="C113" i="9"/>
  <c r="I113" i="9"/>
  <c r="T66" i="4"/>
  <c r="V99" i="8"/>
  <c r="U99" i="8"/>
  <c r="V98" i="8"/>
  <c r="U98" i="8"/>
  <c r="V97" i="8"/>
  <c r="U97" i="8"/>
  <c r="U94" i="8"/>
  <c r="U93" i="8"/>
  <c r="U92" i="8"/>
  <c r="U91" i="8"/>
  <c r="U89" i="8"/>
  <c r="U88" i="8"/>
  <c r="U87" i="8"/>
  <c r="U85" i="8"/>
  <c r="U84" i="8"/>
  <c r="U82" i="8"/>
  <c r="U81" i="8"/>
  <c r="U80" i="8"/>
  <c r="U79" i="8"/>
  <c r="U78" i="8"/>
  <c r="U77" i="8"/>
  <c r="U76" i="8"/>
  <c r="U75" i="8"/>
  <c r="V72" i="8"/>
  <c r="V71" i="8"/>
  <c r="V69" i="8"/>
  <c r="V68" i="8"/>
  <c r="T51" i="5"/>
  <c r="T51" i="3"/>
  <c r="T49" i="2"/>
  <c r="V76" i="1"/>
  <c r="V79" i="1" s="1"/>
  <c r="T55" i="1"/>
  <c r="T52" i="8"/>
  <c r="S52" i="8"/>
  <c r="T55" i="8"/>
  <c r="T57" i="8" s="1"/>
  <c r="S55" i="8"/>
  <c r="T51" i="8"/>
  <c r="S51" i="8"/>
  <c r="S53" i="8" s="1"/>
  <c r="T60" i="8"/>
  <c r="T63" i="1"/>
  <c r="U11" i="8"/>
  <c r="U12" i="8"/>
  <c r="U13" i="4"/>
  <c r="U9" i="8"/>
  <c r="U10" i="8"/>
  <c r="U13" i="8"/>
  <c r="U14" i="8"/>
  <c r="U15" i="8"/>
  <c r="V35" i="8"/>
  <c r="V36" i="8"/>
  <c r="V37" i="8"/>
  <c r="V40" i="8"/>
  <c r="V41" i="8"/>
  <c r="V42" i="8"/>
  <c r="V37" i="1"/>
  <c r="T37" i="1"/>
  <c r="R37" i="1"/>
  <c r="P37" i="1"/>
  <c r="N37" i="1"/>
  <c r="L37" i="1"/>
  <c r="I37" i="1"/>
  <c r="G37" i="1"/>
  <c r="E37" i="1"/>
  <c r="C37" i="1"/>
  <c r="V46" i="1"/>
  <c r="V51" i="1"/>
  <c r="V78" i="1"/>
  <c r="V80" i="1"/>
  <c r="V82" i="1"/>
  <c r="V84" i="1"/>
  <c r="V87" i="1"/>
  <c r="V90" i="1"/>
  <c r="V92" i="1"/>
  <c r="V95" i="1"/>
  <c r="V97" i="1"/>
  <c r="V31" i="2"/>
  <c r="V40" i="2"/>
  <c r="V45" i="2"/>
  <c r="V46" i="2"/>
  <c r="V70" i="2"/>
  <c r="V72" i="2"/>
  <c r="V82" i="2"/>
  <c r="V88" i="2"/>
  <c r="V48" i="4"/>
  <c r="V57" i="4"/>
  <c r="V62" i="4"/>
  <c r="V63" i="4"/>
  <c r="V85" i="4"/>
  <c r="V104" i="4"/>
  <c r="V94" i="4"/>
  <c r="V96" i="4"/>
  <c r="V97" i="4"/>
  <c r="V99" i="4"/>
  <c r="V100" i="4"/>
  <c r="V101" i="4"/>
  <c r="V103" i="4"/>
  <c r="V105" i="4"/>
  <c r="V106" i="4"/>
  <c r="V33" i="3"/>
  <c r="V42" i="3"/>
  <c r="V47" i="3"/>
  <c r="V48" i="3" s="1"/>
  <c r="V72" i="3"/>
  <c r="V74" i="3" s="1"/>
  <c r="V83" i="3"/>
  <c r="V86" i="3"/>
  <c r="V88" i="3"/>
  <c r="V91" i="3"/>
  <c r="V93" i="3"/>
  <c r="V32" i="5"/>
  <c r="V41" i="5"/>
  <c r="V46" i="5"/>
  <c r="V43" i="8"/>
  <c r="V72" i="5"/>
  <c r="V74" i="5"/>
  <c r="V86" i="5"/>
  <c r="V88" i="5"/>
  <c r="V91" i="5"/>
  <c r="V93" i="5"/>
  <c r="V29" i="8"/>
  <c r="T99" i="8"/>
  <c r="S99" i="8"/>
  <c r="T98" i="8"/>
  <c r="S98" i="8"/>
  <c r="T97" i="8"/>
  <c r="S97" i="8"/>
  <c r="S104" i="4"/>
  <c r="S103" i="4"/>
  <c r="S101" i="4"/>
  <c r="S100" i="4"/>
  <c r="S99" i="4"/>
  <c r="S97" i="4"/>
  <c r="S96" i="4"/>
  <c r="S92" i="4"/>
  <c r="S87" i="4"/>
  <c r="S91" i="4"/>
  <c r="S90" i="4"/>
  <c r="S89" i="4"/>
  <c r="S88" i="4"/>
  <c r="S105" i="4"/>
  <c r="S92" i="3"/>
  <c r="S91" i="3"/>
  <c r="S90" i="3"/>
  <c r="S88" i="3"/>
  <c r="S83" i="3"/>
  <c r="S79" i="3"/>
  <c r="S92" i="5"/>
  <c r="S91" i="5"/>
  <c r="S88" i="5"/>
  <c r="S84" i="5"/>
  <c r="S74" i="5"/>
  <c r="S90" i="5"/>
  <c r="S87" i="5"/>
  <c r="S86" i="5"/>
  <c r="S83" i="5"/>
  <c r="S81" i="5"/>
  <c r="S80" i="5"/>
  <c r="S79" i="5"/>
  <c r="S78" i="5"/>
  <c r="S77" i="5"/>
  <c r="S76" i="5"/>
  <c r="S75" i="5"/>
  <c r="S93" i="5"/>
  <c r="S93" i="3"/>
  <c r="S87" i="3"/>
  <c r="S86" i="3"/>
  <c r="S84" i="3"/>
  <c r="S81" i="3"/>
  <c r="S80" i="3"/>
  <c r="S78" i="3"/>
  <c r="S77" i="3"/>
  <c r="S76" i="3"/>
  <c r="S75" i="3"/>
  <c r="S74" i="3"/>
  <c r="S106" i="4"/>
  <c r="S94" i="4"/>
  <c r="S93" i="4"/>
  <c r="S89" i="2"/>
  <c r="S88" i="2"/>
  <c r="S85" i="2"/>
  <c r="S84" i="2"/>
  <c r="S82" i="2"/>
  <c r="S81" i="2"/>
  <c r="S79" i="2"/>
  <c r="S78" i="2"/>
  <c r="S77" i="2"/>
  <c r="S76" i="2"/>
  <c r="S75" i="2"/>
  <c r="S74" i="2"/>
  <c r="S73" i="2"/>
  <c r="S72" i="2"/>
  <c r="S90" i="2"/>
  <c r="S86" i="2"/>
  <c r="S94" i="1"/>
  <c r="S92" i="1"/>
  <c r="S90" i="1"/>
  <c r="S88" i="1"/>
  <c r="S97" i="1"/>
  <c r="S96" i="1"/>
  <c r="S95" i="1"/>
  <c r="S91" i="1"/>
  <c r="S87" i="1"/>
  <c r="S85" i="1"/>
  <c r="S84" i="1"/>
  <c r="S83" i="1"/>
  <c r="S82" i="1"/>
  <c r="S81" i="1"/>
  <c r="S80" i="1"/>
  <c r="S79" i="1"/>
  <c r="S78" i="1"/>
  <c r="T72" i="5"/>
  <c r="T92" i="5"/>
  <c r="T81" i="5"/>
  <c r="T76" i="5"/>
  <c r="T72" i="3"/>
  <c r="T93" i="3" s="1"/>
  <c r="T92" i="3"/>
  <c r="T88" i="3"/>
  <c r="T86" i="3"/>
  <c r="T83" i="3"/>
  <c r="T80" i="3"/>
  <c r="T78" i="3"/>
  <c r="T76" i="3"/>
  <c r="T74" i="3"/>
  <c r="T85" i="4"/>
  <c r="T105" i="4"/>
  <c r="T103" i="4"/>
  <c r="T100" i="4"/>
  <c r="T97" i="4"/>
  <c r="T94" i="4"/>
  <c r="T92" i="4"/>
  <c r="T90" i="4"/>
  <c r="T70" i="2"/>
  <c r="T91" i="2" s="1"/>
  <c r="T77" i="2"/>
  <c r="T76" i="1"/>
  <c r="T97" i="1" s="1"/>
  <c r="T96" i="1"/>
  <c r="T92" i="1"/>
  <c r="T90" i="1"/>
  <c r="T85" i="1"/>
  <c r="T81" i="1"/>
  <c r="K12" i="8"/>
  <c r="L12" i="8"/>
  <c r="N12" i="8"/>
  <c r="O12" i="8"/>
  <c r="P12" i="8"/>
  <c r="Q12" i="8"/>
  <c r="R12" i="8"/>
  <c r="T12" i="8"/>
  <c r="S12" i="8"/>
  <c r="J12" i="8"/>
  <c r="Q51" i="8"/>
  <c r="Q53" i="8" s="1"/>
  <c r="R51" i="8"/>
  <c r="R53" i="8" s="1"/>
  <c r="Q55" i="8"/>
  <c r="Q57" i="8" s="1"/>
  <c r="R55" i="8"/>
  <c r="R57" i="8" s="1"/>
  <c r="O10" i="8"/>
  <c r="Q10" i="8"/>
  <c r="S10" i="8"/>
  <c r="T46" i="5"/>
  <c r="T41" i="5"/>
  <c r="T48" i="5" s="1"/>
  <c r="T47" i="3"/>
  <c r="T42" i="3"/>
  <c r="T48" i="3" s="1"/>
  <c r="T62" i="4"/>
  <c r="T57" i="4"/>
  <c r="T45" i="2"/>
  <c r="T40" i="2"/>
  <c r="T46" i="2"/>
  <c r="T51" i="1"/>
  <c r="T46" i="1"/>
  <c r="T52" i="1" s="1"/>
  <c r="R60" i="8"/>
  <c r="M15" i="8"/>
  <c r="K15" i="8"/>
  <c r="S15" i="8"/>
  <c r="Q15" i="8"/>
  <c r="O15" i="8"/>
  <c r="M14" i="8"/>
  <c r="S14" i="8"/>
  <c r="Q14" i="8"/>
  <c r="O14" i="8"/>
  <c r="T29" i="8"/>
  <c r="T9" i="8"/>
  <c r="S11" i="8"/>
  <c r="S13" i="8"/>
  <c r="T13" i="8"/>
  <c r="T14" i="8"/>
  <c r="T15" i="8"/>
  <c r="T35" i="8"/>
  <c r="T36" i="8"/>
  <c r="T37" i="8"/>
  <c r="T40" i="8"/>
  <c r="T41" i="8"/>
  <c r="T42" i="8"/>
  <c r="T43" i="8"/>
  <c r="T68" i="8"/>
  <c r="T69" i="8"/>
  <c r="T71" i="8"/>
  <c r="T72" i="8"/>
  <c r="S76" i="8"/>
  <c r="S78" i="8"/>
  <c r="S80" i="8"/>
  <c r="S82" i="8"/>
  <c r="S85" i="8"/>
  <c r="S88" i="8"/>
  <c r="S91" i="8"/>
  <c r="S93" i="8"/>
  <c r="R51" i="5"/>
  <c r="T32" i="5"/>
  <c r="S9" i="8"/>
  <c r="T28" i="5"/>
  <c r="R51" i="3"/>
  <c r="T33" i="3"/>
  <c r="T29" i="3"/>
  <c r="R66" i="4"/>
  <c r="T48" i="4"/>
  <c r="T44" i="4"/>
  <c r="R49" i="2"/>
  <c r="T31" i="2"/>
  <c r="T27" i="2"/>
  <c r="R63" i="1"/>
  <c r="R59" i="8" s="1"/>
  <c r="R55" i="1"/>
  <c r="R47" i="8" s="1"/>
  <c r="T33" i="1"/>
  <c r="R13" i="8"/>
  <c r="R9" i="8"/>
  <c r="R15" i="8"/>
  <c r="R14" i="8"/>
  <c r="I111" i="8"/>
  <c r="I110" i="8"/>
  <c r="I109" i="8"/>
  <c r="I106" i="8"/>
  <c r="I105" i="8"/>
  <c r="I104" i="8"/>
  <c r="I102" i="8"/>
  <c r="J120" i="1"/>
  <c r="J119" i="1"/>
  <c r="J118" i="1"/>
  <c r="I118" i="1"/>
  <c r="J117" i="1"/>
  <c r="I117" i="1"/>
  <c r="I115" i="1"/>
  <c r="I110" i="1"/>
  <c r="P51" i="5"/>
  <c r="P51" i="3"/>
  <c r="P66" i="4"/>
  <c r="P49" i="2"/>
  <c r="P55" i="1"/>
  <c r="P60" i="8"/>
  <c r="P63" i="1"/>
  <c r="P59" i="8"/>
  <c r="R68" i="8"/>
  <c r="R69" i="8"/>
  <c r="R71" i="8"/>
  <c r="R72" i="8"/>
  <c r="Q97" i="8"/>
  <c r="R97" i="8"/>
  <c r="Q98" i="8"/>
  <c r="R98" i="8"/>
  <c r="Q99" i="8"/>
  <c r="R99" i="8"/>
  <c r="Q81" i="8"/>
  <c r="Q75" i="8"/>
  <c r="Q76" i="8"/>
  <c r="Q77" i="8"/>
  <c r="Q78" i="8"/>
  <c r="Q79" i="8"/>
  <c r="Q80" i="8"/>
  <c r="Q82" i="8"/>
  <c r="Q84" i="8"/>
  <c r="Q85" i="8"/>
  <c r="Q87" i="8"/>
  <c r="Q88" i="8"/>
  <c r="Q89" i="8"/>
  <c r="Q91" i="8"/>
  <c r="Q92" i="8"/>
  <c r="Q93" i="8"/>
  <c r="Q94" i="8"/>
  <c r="P58" i="1"/>
  <c r="O51" i="8"/>
  <c r="O53" i="8" s="1"/>
  <c r="P51" i="8"/>
  <c r="P53" i="8" s="1"/>
  <c r="O55" i="8"/>
  <c r="O57" i="8" s="1"/>
  <c r="P55" i="8"/>
  <c r="P57" i="8" s="1"/>
  <c r="R29" i="8"/>
  <c r="R32" i="5"/>
  <c r="R33" i="3"/>
  <c r="R48" i="4"/>
  <c r="R31" i="2"/>
  <c r="P104" i="8"/>
  <c r="P105" i="8"/>
  <c r="P106" i="8"/>
  <c r="P109" i="8"/>
  <c r="P110" i="8"/>
  <c r="P115" i="8" s="1"/>
  <c r="P102" i="8"/>
  <c r="P110" i="5"/>
  <c r="P111" i="8" s="1"/>
  <c r="P115" i="5"/>
  <c r="P113" i="5"/>
  <c r="P111" i="5"/>
  <c r="P106" i="5"/>
  <c r="P115" i="3"/>
  <c r="P114" i="3"/>
  <c r="P113" i="3"/>
  <c r="P111" i="3"/>
  <c r="P106" i="3"/>
  <c r="P128" i="4"/>
  <c r="P127" i="4"/>
  <c r="P126" i="4"/>
  <c r="P124" i="4"/>
  <c r="P119" i="4"/>
  <c r="P113" i="2"/>
  <c r="P112" i="2"/>
  <c r="P111" i="2"/>
  <c r="P109" i="2"/>
  <c r="P104" i="2"/>
  <c r="P118" i="1"/>
  <c r="C119" i="1"/>
  <c r="C118" i="1"/>
  <c r="P117" i="1"/>
  <c r="C117" i="1"/>
  <c r="C115" i="1"/>
  <c r="P119" i="1"/>
  <c r="P110" i="1"/>
  <c r="P107" i="8" s="1"/>
  <c r="C110" i="1"/>
  <c r="R42" i="8"/>
  <c r="R41" i="8"/>
  <c r="R40" i="8"/>
  <c r="R37" i="8"/>
  <c r="R36" i="8"/>
  <c r="R35" i="8"/>
  <c r="H41" i="8"/>
  <c r="J41" i="8"/>
  <c r="L41" i="8"/>
  <c r="N41" i="8"/>
  <c r="P41" i="8"/>
  <c r="H36" i="8"/>
  <c r="J36" i="8"/>
  <c r="L36" i="8"/>
  <c r="N36" i="8"/>
  <c r="P36" i="8"/>
  <c r="P9" i="8"/>
  <c r="Q9" i="8"/>
  <c r="Q11" i="8"/>
  <c r="P13" i="8"/>
  <c r="Q13" i="8"/>
  <c r="P14" i="8"/>
  <c r="P15" i="8"/>
  <c r="R33" i="1"/>
  <c r="R46" i="1"/>
  <c r="R51" i="1"/>
  <c r="R76" i="1"/>
  <c r="R84" i="1" s="1"/>
  <c r="R27" i="2"/>
  <c r="R40" i="2"/>
  <c r="R45" i="2"/>
  <c r="R70" i="2"/>
  <c r="R78" i="2" s="1"/>
  <c r="R44" i="4"/>
  <c r="R57" i="4"/>
  <c r="R63" i="4" s="1"/>
  <c r="R62" i="4"/>
  <c r="R85" i="4"/>
  <c r="R101" i="4" s="1"/>
  <c r="R29" i="3"/>
  <c r="R42" i="3"/>
  <c r="R47" i="3"/>
  <c r="R48" i="3" s="1"/>
  <c r="R72" i="3"/>
  <c r="R80" i="3" s="1"/>
  <c r="R88" i="3"/>
  <c r="R28" i="5"/>
  <c r="R41" i="5"/>
  <c r="R46" i="5"/>
  <c r="R72" i="5"/>
  <c r="R80" i="5" s="1"/>
  <c r="A1" i="5"/>
  <c r="A1" i="3"/>
  <c r="A1" i="4"/>
  <c r="A1" i="2"/>
  <c r="N10" i="8"/>
  <c r="L10" i="8"/>
  <c r="J10" i="8"/>
  <c r="H10" i="8"/>
  <c r="I10" i="8"/>
  <c r="K10" i="8"/>
  <c r="M10" i="8"/>
  <c r="G10" i="8"/>
  <c r="N22" i="8"/>
  <c r="N23" i="8"/>
  <c r="J24" i="8"/>
  <c r="H24" i="8"/>
  <c r="N24" i="8"/>
  <c r="N21" i="8"/>
  <c r="N44" i="4"/>
  <c r="P44" i="4"/>
  <c r="H44" i="4"/>
  <c r="J44" i="4"/>
  <c r="L44" i="4"/>
  <c r="M13" i="1"/>
  <c r="E33" i="5"/>
  <c r="N32" i="5"/>
  <c r="L32" i="5"/>
  <c r="I32" i="5"/>
  <c r="G32" i="5"/>
  <c r="N66" i="4"/>
  <c r="N51" i="5"/>
  <c r="N55" i="1"/>
  <c r="N51" i="3"/>
  <c r="N49" i="2"/>
  <c r="C11" i="5"/>
  <c r="E11" i="5"/>
  <c r="N63" i="1"/>
  <c r="N59" i="8"/>
  <c r="P43" i="1"/>
  <c r="N60" i="8"/>
  <c r="L68" i="8"/>
  <c r="J68" i="8"/>
  <c r="H68" i="8"/>
  <c r="P68" i="8"/>
  <c r="N68" i="8"/>
  <c r="L63" i="1"/>
  <c r="J63" i="1"/>
  <c r="J59" i="8"/>
  <c r="H63" i="1"/>
  <c r="H59" i="8"/>
  <c r="F63" i="1"/>
  <c r="F59" i="8"/>
  <c r="L51" i="8"/>
  <c r="L53" i="8" s="1"/>
  <c r="J51" i="8"/>
  <c r="J53" i="8" s="1"/>
  <c r="H51" i="8"/>
  <c r="H53" i="8" s="1"/>
  <c r="F51" i="8"/>
  <c r="F53" i="8" s="1"/>
  <c r="N51" i="8"/>
  <c r="N53" i="8" s="1"/>
  <c r="L12" i="4"/>
  <c r="O12" i="4"/>
  <c r="O22" i="1"/>
  <c r="O21" i="4"/>
  <c r="O25" i="4"/>
  <c r="M51" i="8"/>
  <c r="M53" i="8" s="1"/>
  <c r="M55" i="8"/>
  <c r="M57" i="8" s="1"/>
  <c r="K55" i="8"/>
  <c r="K57" i="8" s="1"/>
  <c r="I55" i="8"/>
  <c r="I57" i="8" s="1"/>
  <c r="G55" i="8"/>
  <c r="G57" i="8" s="1"/>
  <c r="E55" i="8"/>
  <c r="E57" i="8" s="1"/>
  <c r="N55" i="8"/>
  <c r="N57" i="8" s="1"/>
  <c r="K51" i="8"/>
  <c r="K53" i="8" s="1"/>
  <c r="I51" i="8"/>
  <c r="I53" i="8" s="1"/>
  <c r="G51" i="8"/>
  <c r="G53" i="8" s="1"/>
  <c r="E51" i="8"/>
  <c r="E53" i="8" s="1"/>
  <c r="L30" i="1"/>
  <c r="L33" i="1" s="1"/>
  <c r="F10" i="8"/>
  <c r="H12" i="8"/>
  <c r="F12" i="8"/>
  <c r="L13" i="8"/>
  <c r="J13" i="8"/>
  <c r="H13" i="8"/>
  <c r="F13" i="8"/>
  <c r="N13" i="8"/>
  <c r="L14" i="8"/>
  <c r="N14" i="8"/>
  <c r="L15" i="8"/>
  <c r="J15" i="8"/>
  <c r="H15" i="8"/>
  <c r="F15" i="8"/>
  <c r="N15" i="8"/>
  <c r="P28" i="5"/>
  <c r="N29" i="3"/>
  <c r="O16" i="3"/>
  <c r="O12" i="3"/>
  <c r="P29" i="3"/>
  <c r="M12" i="4"/>
  <c r="O17" i="2"/>
  <c r="O12" i="2"/>
  <c r="N33" i="1"/>
  <c r="F33" i="1"/>
  <c r="H33" i="1"/>
  <c r="J33" i="1"/>
  <c r="P27" i="2"/>
  <c r="M22" i="1"/>
  <c r="I124" i="4"/>
  <c r="I119" i="4"/>
  <c r="M76" i="8"/>
  <c r="K76" i="8"/>
  <c r="I76" i="8"/>
  <c r="G76" i="8"/>
  <c r="O76" i="8"/>
  <c r="M75" i="8"/>
  <c r="K75" i="8"/>
  <c r="I75" i="8"/>
  <c r="G75" i="8"/>
  <c r="O75" i="8"/>
  <c r="L60" i="8"/>
  <c r="J60" i="8"/>
  <c r="H60" i="8"/>
  <c r="F60" i="8"/>
  <c r="L55" i="8"/>
  <c r="J55" i="8"/>
  <c r="J57" i="8" s="1"/>
  <c r="H55" i="8"/>
  <c r="H57" i="8" s="1"/>
  <c r="F55" i="8"/>
  <c r="F57" i="8" s="1"/>
  <c r="L55" i="1"/>
  <c r="L66" i="4"/>
  <c r="J55" i="1"/>
  <c r="J66" i="4"/>
  <c r="H66" i="4"/>
  <c r="F55" i="1"/>
  <c r="F66" i="4"/>
  <c r="L54" i="1"/>
  <c r="L65" i="4"/>
  <c r="J46" i="8"/>
  <c r="H46" i="8"/>
  <c r="F46" i="8"/>
  <c r="L99" i="8"/>
  <c r="J99" i="8"/>
  <c r="H99" i="8"/>
  <c r="P99" i="8"/>
  <c r="N99" i="8"/>
  <c r="L98" i="8"/>
  <c r="J98" i="8"/>
  <c r="H98" i="8"/>
  <c r="P98" i="8"/>
  <c r="N98" i="8"/>
  <c r="L97" i="8"/>
  <c r="J97" i="8"/>
  <c r="H97" i="8"/>
  <c r="P97" i="8"/>
  <c r="N97" i="8"/>
  <c r="K94" i="8"/>
  <c r="L69" i="8"/>
  <c r="L71" i="8"/>
  <c r="L72" i="8"/>
  <c r="I94" i="8"/>
  <c r="J69" i="8"/>
  <c r="J71" i="8"/>
  <c r="J72" i="8"/>
  <c r="G94" i="8"/>
  <c r="H69" i="8"/>
  <c r="H71" i="8"/>
  <c r="H72" i="8"/>
  <c r="O94" i="8"/>
  <c r="P69" i="8"/>
  <c r="P71" i="8"/>
  <c r="P72" i="8"/>
  <c r="M94" i="8"/>
  <c r="N69" i="8"/>
  <c r="N71" i="8"/>
  <c r="N72" i="8"/>
  <c r="K93" i="8"/>
  <c r="I93" i="8"/>
  <c r="G93" i="8"/>
  <c r="O93" i="8"/>
  <c r="M93" i="8"/>
  <c r="K92" i="8"/>
  <c r="I92" i="8"/>
  <c r="G92" i="8"/>
  <c r="O92" i="8"/>
  <c r="M92" i="8"/>
  <c r="K91" i="8"/>
  <c r="I91" i="8"/>
  <c r="G91" i="8"/>
  <c r="O91" i="8"/>
  <c r="M91" i="8"/>
  <c r="K89" i="8"/>
  <c r="I89" i="8"/>
  <c r="G89" i="8"/>
  <c r="O89" i="8"/>
  <c r="M89" i="8"/>
  <c r="K88" i="8"/>
  <c r="I88" i="8"/>
  <c r="G88" i="8"/>
  <c r="O88" i="8"/>
  <c r="M88" i="8"/>
  <c r="K87" i="8"/>
  <c r="I87" i="8"/>
  <c r="G87" i="8"/>
  <c r="O87" i="8"/>
  <c r="M87" i="8"/>
  <c r="K85" i="8"/>
  <c r="I85" i="8"/>
  <c r="G85" i="8"/>
  <c r="O85" i="8"/>
  <c r="M85" i="8"/>
  <c r="K84" i="8"/>
  <c r="I84" i="8"/>
  <c r="G84" i="8"/>
  <c r="O84" i="8"/>
  <c r="M84" i="8"/>
  <c r="K82" i="8"/>
  <c r="I82" i="8"/>
  <c r="G82" i="8"/>
  <c r="O82" i="8"/>
  <c r="M82" i="8"/>
  <c r="K80" i="8"/>
  <c r="I80" i="8"/>
  <c r="G80" i="8"/>
  <c r="O80" i="8"/>
  <c r="M80" i="8"/>
  <c r="K79" i="8"/>
  <c r="I79" i="8"/>
  <c r="G79" i="8"/>
  <c r="O79" i="8"/>
  <c r="M79" i="8"/>
  <c r="K78" i="8"/>
  <c r="I78" i="8"/>
  <c r="G78" i="8"/>
  <c r="O78" i="8"/>
  <c r="M78" i="8"/>
  <c r="K77" i="8"/>
  <c r="I77" i="8"/>
  <c r="G77" i="8"/>
  <c r="O77" i="8"/>
  <c r="M77" i="8"/>
  <c r="L43" i="1"/>
  <c r="L37" i="8"/>
  <c r="L51" i="1"/>
  <c r="L62" i="4"/>
  <c r="J43" i="1"/>
  <c r="J35" i="8" s="1"/>
  <c r="J37" i="8"/>
  <c r="J48" i="1"/>
  <c r="J50" i="1"/>
  <c r="H43" i="1"/>
  <c r="H35" i="8"/>
  <c r="H45" i="1"/>
  <c r="H37" i="8"/>
  <c r="H48" i="1"/>
  <c r="H50" i="1"/>
  <c r="H42" i="8" s="1"/>
  <c r="P35" i="8"/>
  <c r="P37" i="8"/>
  <c r="P51" i="1"/>
  <c r="P45" i="2"/>
  <c r="P47" i="3"/>
  <c r="P46" i="5"/>
  <c r="P62" i="4"/>
  <c r="N43" i="1"/>
  <c r="N37" i="8"/>
  <c r="N51" i="1"/>
  <c r="N62" i="4"/>
  <c r="L42" i="8"/>
  <c r="P42" i="8"/>
  <c r="N42" i="8"/>
  <c r="L40" i="8"/>
  <c r="P40" i="8"/>
  <c r="N40" i="8"/>
  <c r="P29" i="8"/>
  <c r="L29" i="8"/>
  <c r="N29" i="8"/>
  <c r="M99" i="8"/>
  <c r="K99" i="8"/>
  <c r="I99" i="8"/>
  <c r="G99" i="8"/>
  <c r="O99" i="8"/>
  <c r="M98" i="8"/>
  <c r="K98" i="8"/>
  <c r="I98" i="8"/>
  <c r="G98" i="8"/>
  <c r="O98" i="8"/>
  <c r="M97" i="8"/>
  <c r="K97" i="8"/>
  <c r="I97" i="8"/>
  <c r="G97" i="8"/>
  <c r="O97" i="8"/>
  <c r="G15" i="8"/>
  <c r="I15" i="8"/>
  <c r="O13" i="8"/>
  <c r="M13" i="8"/>
  <c r="K13" i="8"/>
  <c r="I13" i="8"/>
  <c r="G13" i="8"/>
  <c r="I12" i="8"/>
  <c r="G12" i="8"/>
  <c r="O11" i="8"/>
  <c r="M11" i="8"/>
  <c r="K11" i="8"/>
  <c r="I11" i="8"/>
  <c r="G11" i="8"/>
  <c r="M21" i="4"/>
  <c r="M25" i="4"/>
  <c r="K9" i="8"/>
  <c r="I9" i="8"/>
  <c r="P72" i="5"/>
  <c r="P93" i="5" s="1"/>
  <c r="P41" i="5"/>
  <c r="P48" i="5" s="1"/>
  <c r="P32" i="5"/>
  <c r="P72" i="3"/>
  <c r="P74" i="3" s="1"/>
  <c r="P42" i="3"/>
  <c r="P48" i="3"/>
  <c r="P33" i="3"/>
  <c r="I129" i="4"/>
  <c r="I128" i="4"/>
  <c r="I127" i="4"/>
  <c r="I126" i="4"/>
  <c r="P85" i="4"/>
  <c r="N85" i="4"/>
  <c r="N103" i="4"/>
  <c r="L85" i="4"/>
  <c r="J85" i="4"/>
  <c r="J99" i="4" s="1"/>
  <c r="H106" i="4"/>
  <c r="H105" i="4"/>
  <c r="L104" i="4"/>
  <c r="H104" i="4"/>
  <c r="H103" i="4"/>
  <c r="H101" i="4"/>
  <c r="L100" i="4"/>
  <c r="H100" i="4"/>
  <c r="N99" i="4"/>
  <c r="H99" i="4"/>
  <c r="L97" i="4"/>
  <c r="H97" i="4"/>
  <c r="H96" i="4"/>
  <c r="L94" i="4"/>
  <c r="H94" i="4"/>
  <c r="N92" i="4"/>
  <c r="H92" i="4"/>
  <c r="L91" i="4"/>
  <c r="H91" i="4"/>
  <c r="H90" i="4"/>
  <c r="L89" i="4"/>
  <c r="H89" i="4"/>
  <c r="N88" i="4"/>
  <c r="H88" i="4"/>
  <c r="L87" i="4"/>
  <c r="H87" i="4"/>
  <c r="P57" i="4"/>
  <c r="P63" i="4"/>
  <c r="N57" i="4"/>
  <c r="L57" i="4"/>
  <c r="L63" i="4" s="1"/>
  <c r="J57" i="4"/>
  <c r="J62" i="4"/>
  <c r="H57" i="4"/>
  <c r="H62" i="4"/>
  <c r="P48" i="4"/>
  <c r="N48" i="4"/>
  <c r="L48" i="4"/>
  <c r="P70" i="2"/>
  <c r="P89" i="2"/>
  <c r="P84" i="2"/>
  <c r="P72" i="2"/>
  <c r="P40" i="2"/>
  <c r="P46" i="2"/>
  <c r="P31" i="2"/>
  <c r="N76" i="1"/>
  <c r="L76" i="1"/>
  <c r="J76" i="1"/>
  <c r="P76" i="1"/>
  <c r="N46" i="1"/>
  <c r="P46" i="1"/>
  <c r="P52" i="1"/>
  <c r="P33" i="1"/>
  <c r="H76" i="1"/>
  <c r="E16" i="1"/>
  <c r="E13" i="1"/>
  <c r="E21" i="4"/>
  <c r="E25" i="4"/>
  <c r="C9" i="8"/>
  <c r="M11" i="5"/>
  <c r="D11" i="5"/>
  <c r="D9" i="8" s="1"/>
  <c r="L11" i="5"/>
  <c r="J11" i="5"/>
  <c r="H11" i="5"/>
  <c r="H9" i="8" s="1"/>
  <c r="F11" i="5"/>
  <c r="F9" i="8" s="1"/>
  <c r="G11" i="5"/>
  <c r="G9" i="8" s="1"/>
  <c r="N11" i="5"/>
  <c r="F44" i="4"/>
  <c r="C119" i="4"/>
  <c r="C124" i="4"/>
  <c r="C129" i="4" s="1"/>
  <c r="C111" i="8"/>
  <c r="C106" i="8"/>
  <c r="C110" i="8"/>
  <c r="C104" i="8"/>
  <c r="C109" i="8"/>
  <c r="C102" i="8"/>
  <c r="C105" i="8"/>
  <c r="F99" i="8"/>
  <c r="E99" i="8"/>
  <c r="F98" i="8"/>
  <c r="E98" i="8"/>
  <c r="F97" i="8"/>
  <c r="E97" i="8"/>
  <c r="E94" i="8"/>
  <c r="F68" i="8"/>
  <c r="F69" i="8"/>
  <c r="F71" i="8"/>
  <c r="F72" i="8"/>
  <c r="E93" i="8"/>
  <c r="E92" i="8"/>
  <c r="E91" i="8"/>
  <c r="E89" i="8"/>
  <c r="E88" i="8"/>
  <c r="E87" i="8"/>
  <c r="E85" i="8"/>
  <c r="E84" i="8"/>
  <c r="E82" i="8"/>
  <c r="E80" i="8"/>
  <c r="E79" i="8"/>
  <c r="E78" i="8"/>
  <c r="E77" i="8"/>
  <c r="E76" i="8"/>
  <c r="E87" i="4"/>
  <c r="E75" i="8"/>
  <c r="C128" i="4"/>
  <c r="C127" i="4"/>
  <c r="C126" i="4"/>
  <c r="F85" i="4"/>
  <c r="F96" i="4"/>
  <c r="C55" i="8"/>
  <c r="C57" i="8" s="1"/>
  <c r="C51" i="8"/>
  <c r="C53" i="8" s="1"/>
  <c r="D60" i="8"/>
  <c r="D59" i="8"/>
  <c r="D55" i="8"/>
  <c r="D57" i="8" s="1"/>
  <c r="D51" i="8"/>
  <c r="D53" i="8" s="1"/>
  <c r="F43" i="1"/>
  <c r="F45" i="1"/>
  <c r="F37" i="8" s="1"/>
  <c r="F40" i="8"/>
  <c r="F42" i="8"/>
  <c r="D66" i="4"/>
  <c r="D55" i="1"/>
  <c r="D65" i="4"/>
  <c r="F57" i="4"/>
  <c r="F62" i="4"/>
  <c r="D24" i="8"/>
  <c r="D15" i="8"/>
  <c r="E15" i="8"/>
  <c r="D13" i="8"/>
  <c r="E13" i="8"/>
  <c r="D12" i="8"/>
  <c r="E12" i="8"/>
  <c r="E11" i="8"/>
  <c r="D10" i="8"/>
  <c r="E10" i="8"/>
  <c r="D33" i="1"/>
  <c r="I114" i="5"/>
  <c r="I114" i="3"/>
  <c r="C114" i="3"/>
  <c r="I106" i="3"/>
  <c r="I106" i="5"/>
  <c r="C106" i="3"/>
  <c r="C107" i="5"/>
  <c r="I111" i="5"/>
  <c r="I116" i="5" s="1"/>
  <c r="I115" i="5"/>
  <c r="I113" i="5"/>
  <c r="C112" i="5"/>
  <c r="C117" i="5" s="1"/>
  <c r="C116" i="5"/>
  <c r="C114" i="5"/>
  <c r="I111" i="3"/>
  <c r="I115" i="3"/>
  <c r="I113" i="3"/>
  <c r="C115" i="3"/>
  <c r="C113" i="3"/>
  <c r="I104" i="2"/>
  <c r="C109" i="2"/>
  <c r="C104" i="2"/>
  <c r="D97" i="8"/>
  <c r="D98" i="8"/>
  <c r="D99" i="8"/>
  <c r="C98" i="8"/>
  <c r="C99" i="8"/>
  <c r="C97" i="8"/>
  <c r="I29" i="8"/>
  <c r="G29" i="8"/>
  <c r="C29" i="8"/>
  <c r="I48" i="4"/>
  <c r="G48" i="4"/>
  <c r="E48" i="4"/>
  <c r="C48" i="4"/>
  <c r="C33" i="5"/>
  <c r="N33" i="3"/>
  <c r="L33" i="3"/>
  <c r="I33" i="3"/>
  <c r="G33" i="3"/>
  <c r="E33" i="3"/>
  <c r="C33" i="3"/>
  <c r="N31" i="2"/>
  <c r="L31" i="2"/>
  <c r="I31" i="2"/>
  <c r="G31" i="2"/>
  <c r="E31" i="2"/>
  <c r="C31" i="2"/>
  <c r="L50" i="5"/>
  <c r="L50" i="3"/>
  <c r="L51" i="5"/>
  <c r="L49" i="2"/>
  <c r="L51" i="3"/>
  <c r="M14" i="2"/>
  <c r="M12" i="8"/>
  <c r="M16" i="3"/>
  <c r="M12" i="2"/>
  <c r="M17" i="2"/>
  <c r="M12" i="3"/>
  <c r="M15" i="5"/>
  <c r="M16" i="5"/>
  <c r="N45" i="2"/>
  <c r="N47" i="3"/>
  <c r="N46" i="5"/>
  <c r="N70" i="2"/>
  <c r="N90" i="2" s="1"/>
  <c r="N79" i="2"/>
  <c r="N40" i="2"/>
  <c r="N46" i="2" s="1"/>
  <c r="N72" i="3"/>
  <c r="N92" i="3" s="1"/>
  <c r="N90" i="3"/>
  <c r="N84" i="3"/>
  <c r="N78" i="3"/>
  <c r="N74" i="3"/>
  <c r="N42" i="3"/>
  <c r="N72" i="5"/>
  <c r="N83" i="5" s="1"/>
  <c r="N41" i="5"/>
  <c r="L16" i="5"/>
  <c r="L12" i="3"/>
  <c r="L12" i="2"/>
  <c r="D45" i="1"/>
  <c r="D37" i="8"/>
  <c r="D43" i="1"/>
  <c r="D57" i="4"/>
  <c r="D63" i="4" s="1"/>
  <c r="H41" i="5"/>
  <c r="F42" i="5"/>
  <c r="F49" i="5" s="1"/>
  <c r="D42" i="5"/>
  <c r="H42" i="3"/>
  <c r="F42" i="3"/>
  <c r="D42" i="3"/>
  <c r="H40" i="2"/>
  <c r="F40" i="2"/>
  <c r="D40" i="2"/>
  <c r="J25" i="2"/>
  <c r="J24" i="2"/>
  <c r="J23" i="2"/>
  <c r="H23" i="2"/>
  <c r="J16" i="3"/>
  <c r="J9" i="8" s="1"/>
  <c r="E12" i="3"/>
  <c r="E16" i="3"/>
  <c r="C15" i="8"/>
  <c r="C13" i="8"/>
  <c r="C12" i="8"/>
  <c r="C11" i="8"/>
  <c r="C10" i="8"/>
  <c r="L45" i="2"/>
  <c r="L47" i="3"/>
  <c r="L46" i="5"/>
  <c r="D68" i="8"/>
  <c r="D69" i="8"/>
  <c r="D71" i="5"/>
  <c r="D72" i="8"/>
  <c r="C94" i="8"/>
  <c r="C93" i="8"/>
  <c r="C92" i="8"/>
  <c r="C91" i="8"/>
  <c r="C89" i="8"/>
  <c r="C88" i="8"/>
  <c r="C87" i="8"/>
  <c r="C85" i="8"/>
  <c r="C84" i="8"/>
  <c r="C82" i="8"/>
  <c r="C80" i="8"/>
  <c r="C79" i="8"/>
  <c r="C78" i="8"/>
  <c r="C77" i="8"/>
  <c r="C76" i="8"/>
  <c r="C75" i="8"/>
  <c r="D23" i="2"/>
  <c r="D21" i="8"/>
  <c r="D24" i="2"/>
  <c r="D22" i="8"/>
  <c r="D25" i="2"/>
  <c r="D23" i="8"/>
  <c r="F23" i="2"/>
  <c r="F21" i="8"/>
  <c r="F24" i="2"/>
  <c r="F22" i="8"/>
  <c r="F25" i="2"/>
  <c r="F23" i="8"/>
  <c r="F26" i="2"/>
  <c r="F24" i="8"/>
  <c r="H24" i="2"/>
  <c r="H25" i="2"/>
  <c r="H23" i="8" s="1"/>
  <c r="H51" i="5"/>
  <c r="J51" i="5"/>
  <c r="J47" i="8" s="1"/>
  <c r="L26" i="2"/>
  <c r="L25" i="2"/>
  <c r="L24" i="2"/>
  <c r="L23" i="2"/>
  <c r="L70" i="2"/>
  <c r="L90" i="2" s="1"/>
  <c r="D51" i="5"/>
  <c r="D50" i="3"/>
  <c r="D48" i="2"/>
  <c r="D46" i="8" s="1"/>
  <c r="F52" i="5"/>
  <c r="L72" i="5"/>
  <c r="L86" i="5" s="1"/>
  <c r="L41" i="5"/>
  <c r="L28" i="5"/>
  <c r="L72" i="3"/>
  <c r="L90" i="3"/>
  <c r="L78" i="3"/>
  <c r="L42" i="3"/>
  <c r="L29" i="3"/>
  <c r="L40" i="2"/>
  <c r="L46" i="2" s="1"/>
  <c r="J72" i="5"/>
  <c r="J93" i="5" s="1"/>
  <c r="J72" i="3"/>
  <c r="J83" i="3" s="1"/>
  <c r="J70" i="2"/>
  <c r="J41" i="5"/>
  <c r="J46" i="5"/>
  <c r="J28" i="5"/>
  <c r="J42" i="3"/>
  <c r="J47" i="3"/>
  <c r="J48" i="3" s="1"/>
  <c r="J29" i="3"/>
  <c r="J86" i="2"/>
  <c r="J40" i="2"/>
  <c r="J45" i="2"/>
  <c r="J27" i="2"/>
  <c r="H29" i="3"/>
  <c r="H28" i="5"/>
  <c r="H93" i="5"/>
  <c r="H92" i="5"/>
  <c r="H91" i="5"/>
  <c r="H90" i="5"/>
  <c r="H88" i="5"/>
  <c r="H87" i="5"/>
  <c r="H86" i="5"/>
  <c r="H84" i="5"/>
  <c r="H83" i="5"/>
  <c r="H81" i="5"/>
  <c r="H79" i="5"/>
  <c r="H78" i="5"/>
  <c r="H77" i="5"/>
  <c r="H76" i="5"/>
  <c r="H75" i="5"/>
  <c r="H74" i="5"/>
  <c r="H93" i="3"/>
  <c r="H92" i="3"/>
  <c r="H91" i="3"/>
  <c r="H90" i="3"/>
  <c r="H88" i="3"/>
  <c r="H87" i="3"/>
  <c r="H86" i="3"/>
  <c r="H84" i="3"/>
  <c r="H83" i="3"/>
  <c r="H81" i="3"/>
  <c r="H79" i="3"/>
  <c r="H78" i="3"/>
  <c r="H77" i="3"/>
  <c r="H76" i="3"/>
  <c r="H75" i="3"/>
  <c r="H74" i="3"/>
  <c r="H91" i="2"/>
  <c r="H90" i="2"/>
  <c r="H89" i="2"/>
  <c r="H88" i="2"/>
  <c r="H86" i="2"/>
  <c r="H85" i="2"/>
  <c r="H84" i="2"/>
  <c r="H82" i="2"/>
  <c r="H81" i="2"/>
  <c r="H79" i="2"/>
  <c r="H77" i="2"/>
  <c r="H76" i="2"/>
  <c r="H75" i="2"/>
  <c r="H74" i="2"/>
  <c r="H73" i="2"/>
  <c r="H72" i="2"/>
  <c r="H46" i="5"/>
  <c r="H47" i="3"/>
  <c r="H45" i="2"/>
  <c r="H46" i="2"/>
  <c r="F70" i="2"/>
  <c r="F82" i="2"/>
  <c r="F72" i="2"/>
  <c r="D70" i="2"/>
  <c r="D86" i="2" s="1"/>
  <c r="D49" i="2"/>
  <c r="D75" i="2"/>
  <c r="F45" i="2"/>
  <c r="D45" i="2"/>
  <c r="D46" i="2" s="1"/>
  <c r="D27" i="2"/>
  <c r="F76" i="1"/>
  <c r="F94" i="1"/>
  <c r="D76" i="1"/>
  <c r="D79" i="1"/>
  <c r="D92" i="1"/>
  <c r="F51" i="1"/>
  <c r="D51" i="1"/>
  <c r="F73" i="5"/>
  <c r="F78" i="5" s="1"/>
  <c r="D52" i="5"/>
  <c r="F29" i="5"/>
  <c r="F47" i="5"/>
  <c r="D47" i="5"/>
  <c r="D49" i="5" s="1"/>
  <c r="D29" i="5"/>
  <c r="D85" i="4"/>
  <c r="D62" i="4"/>
  <c r="D44" i="4"/>
  <c r="D40" i="8"/>
  <c r="D42" i="8"/>
  <c r="D35" i="8"/>
  <c r="D51" i="3"/>
  <c r="D47" i="8" s="1"/>
  <c r="F72" i="3"/>
  <c r="F93" i="3" s="1"/>
  <c r="F92" i="3"/>
  <c r="F90" i="3"/>
  <c r="F87" i="3"/>
  <c r="F84" i="3"/>
  <c r="F81" i="3"/>
  <c r="F78" i="3"/>
  <c r="F76" i="3"/>
  <c r="F74" i="3"/>
  <c r="D72" i="3"/>
  <c r="D74" i="3" s="1"/>
  <c r="F29" i="3"/>
  <c r="F47" i="3"/>
  <c r="F48" i="3" s="1"/>
  <c r="D47" i="3"/>
  <c r="D29" i="3"/>
  <c r="R77" i="2"/>
  <c r="R73" i="2"/>
  <c r="R90" i="2"/>
  <c r="R88" i="2"/>
  <c r="R85" i="2"/>
  <c r="R82" i="2"/>
  <c r="R79" i="2"/>
  <c r="R76" i="2"/>
  <c r="R74" i="2"/>
  <c r="R76" i="3"/>
  <c r="R75" i="3"/>
  <c r="D97" i="4"/>
  <c r="D99" i="4"/>
  <c r="D91" i="1"/>
  <c r="F73" i="2"/>
  <c r="H21" i="8"/>
  <c r="J105" i="4"/>
  <c r="P92" i="3"/>
  <c r="P90" i="3"/>
  <c r="P87" i="3"/>
  <c r="J81" i="3"/>
  <c r="L75" i="3"/>
  <c r="L79" i="3"/>
  <c r="L86" i="3"/>
  <c r="L91" i="3"/>
  <c r="L75" i="5"/>
  <c r="L24" i="8"/>
  <c r="H22" i="8"/>
  <c r="L43" i="8"/>
  <c r="N88" i="5"/>
  <c r="N75" i="2"/>
  <c r="N81" i="2"/>
  <c r="N84" i="2"/>
  <c r="N86" i="2"/>
  <c r="N89" i="2"/>
  <c r="F47" i="8"/>
  <c r="L22" i="8"/>
  <c r="P74" i="5"/>
  <c r="P75" i="5"/>
  <c r="P76" i="5"/>
  <c r="P77" i="5"/>
  <c r="P78" i="5"/>
  <c r="P79" i="5"/>
  <c r="P81" i="5"/>
  <c r="P83" i="5"/>
  <c r="P84" i="5"/>
  <c r="P86" i="5"/>
  <c r="P87" i="5"/>
  <c r="P88" i="5"/>
  <c r="P90" i="5"/>
  <c r="P91" i="5"/>
  <c r="P92" i="5"/>
  <c r="J75" i="5"/>
  <c r="J86" i="5"/>
  <c r="L87" i="5"/>
  <c r="N81" i="5"/>
  <c r="F76" i="5"/>
  <c r="F81" i="5"/>
  <c r="F87" i="5"/>
  <c r="F92" i="5"/>
  <c r="J76" i="5"/>
  <c r="J81" i="5"/>
  <c r="J87" i="5"/>
  <c r="J92" i="5"/>
  <c r="N78" i="5"/>
  <c r="N90" i="5"/>
  <c r="P116" i="5"/>
  <c r="P116" i="3"/>
  <c r="P129" i="4"/>
  <c r="P114" i="2"/>
  <c r="P115" i="1"/>
  <c r="P112" i="8" s="1"/>
  <c r="R79" i="3"/>
  <c r="R77" i="3"/>
  <c r="R84" i="3"/>
  <c r="R81" i="3"/>
  <c r="R78" i="3"/>
  <c r="R74" i="3"/>
  <c r="R105" i="4"/>
  <c r="R100" i="4"/>
  <c r="R97" i="4"/>
  <c r="R94" i="4"/>
  <c r="R91" i="4"/>
  <c r="R89" i="4"/>
  <c r="R87" i="4"/>
  <c r="R89" i="2"/>
  <c r="R84" i="2"/>
  <c r="R75" i="2"/>
  <c r="R91" i="2"/>
  <c r="R86" i="2"/>
  <c r="R81" i="2"/>
  <c r="R72" i="2"/>
  <c r="R81" i="1"/>
  <c r="R87" i="1"/>
  <c r="R92" i="1"/>
  <c r="R97" i="1"/>
  <c r="R80" i="1"/>
  <c r="R85" i="1"/>
  <c r="R91" i="1"/>
  <c r="R96" i="1"/>
  <c r="R94" i="1"/>
  <c r="R88" i="1"/>
  <c r="R82" i="1"/>
  <c r="R78" i="1"/>
  <c r="R95" i="1"/>
  <c r="R90" i="1"/>
  <c r="R83" i="1"/>
  <c r="R79" i="1"/>
  <c r="J46" i="1"/>
  <c r="D94" i="1"/>
  <c r="D88" i="1"/>
  <c r="D82" i="1"/>
  <c r="D78" i="1"/>
  <c r="D83" i="1"/>
  <c r="D95" i="1"/>
  <c r="D97" i="1"/>
  <c r="D81" i="1"/>
  <c r="N80" i="1"/>
  <c r="N91" i="1"/>
  <c r="R52" i="1"/>
  <c r="N78" i="1"/>
  <c r="N82" i="1"/>
  <c r="N88" i="1"/>
  <c r="N94" i="1"/>
  <c r="F78" i="1"/>
  <c r="D46" i="1"/>
  <c r="D52" i="1"/>
  <c r="F88" i="1"/>
  <c r="H46" i="1"/>
  <c r="J51" i="1"/>
  <c r="N79" i="1"/>
  <c r="N81" i="1"/>
  <c r="N83" i="1"/>
  <c r="N87" i="1"/>
  <c r="N90" i="1"/>
  <c r="N92" i="1"/>
  <c r="N95" i="1"/>
  <c r="F82" i="1"/>
  <c r="C120" i="1"/>
  <c r="J79" i="1"/>
  <c r="J81" i="1"/>
  <c r="J83" i="1"/>
  <c r="J87" i="1"/>
  <c r="J90" i="1"/>
  <c r="J92" i="1"/>
  <c r="J95" i="1"/>
  <c r="P120" i="1"/>
  <c r="D87" i="1"/>
  <c r="J42" i="8"/>
  <c r="F97" i="1"/>
  <c r="F95" i="1"/>
  <c r="F92" i="1"/>
  <c r="F90" i="1"/>
  <c r="F87" i="1"/>
  <c r="F83" i="1"/>
  <c r="F81" i="1"/>
  <c r="F79" i="1"/>
  <c r="N52" i="1"/>
  <c r="P96" i="1"/>
  <c r="P94" i="1"/>
  <c r="P91" i="1"/>
  <c r="P88" i="1"/>
  <c r="P85" i="1"/>
  <c r="P82" i="1"/>
  <c r="P80" i="1"/>
  <c r="P78" i="1"/>
  <c r="L97" i="1"/>
  <c r="L96" i="1"/>
  <c r="L95" i="1"/>
  <c r="L94" i="1"/>
  <c r="L92" i="1"/>
  <c r="L91" i="1"/>
  <c r="L90" i="1"/>
  <c r="L88" i="1"/>
  <c r="L87" i="1"/>
  <c r="L85" i="1"/>
  <c r="L83" i="1"/>
  <c r="L82" i="1"/>
  <c r="L81" i="1"/>
  <c r="L80" i="1"/>
  <c r="L79" i="1"/>
  <c r="L78" i="1"/>
  <c r="H40" i="8"/>
  <c r="H51" i="1"/>
  <c r="H52" i="1"/>
  <c r="F80" i="1"/>
  <c r="F85" i="1"/>
  <c r="F91" i="1"/>
  <c r="F96" i="1"/>
  <c r="N35" i="8"/>
  <c r="J40" i="8"/>
  <c r="I120" i="1"/>
  <c r="F63" i="4"/>
  <c r="F104" i="4"/>
  <c r="R104" i="4"/>
  <c r="J63" i="4"/>
  <c r="N63" i="4"/>
  <c r="P103" i="4"/>
  <c r="J104" i="4"/>
  <c r="N104" i="4"/>
  <c r="P105" i="4"/>
  <c r="L47" i="8"/>
  <c r="D90" i="4"/>
  <c r="D100" i="4"/>
  <c r="D103" i="4"/>
  <c r="D105" i="4"/>
  <c r="D89" i="4"/>
  <c r="D94" i="4"/>
  <c r="D92" i="4"/>
  <c r="L106" i="4"/>
  <c r="L105" i="4"/>
  <c r="L101" i="4"/>
  <c r="L99" i="4"/>
  <c r="L96" i="4"/>
  <c r="L92" i="4"/>
  <c r="L90" i="4"/>
  <c r="L88" i="4"/>
  <c r="P106" i="4"/>
  <c r="P104" i="4"/>
  <c r="P101" i="4"/>
  <c r="P99" i="4"/>
  <c r="P96" i="4"/>
  <c r="P92" i="4"/>
  <c r="P90" i="4"/>
  <c r="P88" i="4"/>
  <c r="M9" i="8"/>
  <c r="R93" i="4"/>
  <c r="R96" i="4"/>
  <c r="R106" i="4"/>
  <c r="L103" i="4"/>
  <c r="R99" i="4"/>
  <c r="R103" i="4"/>
  <c r="R88" i="4"/>
  <c r="R90" i="4"/>
  <c r="R92" i="4"/>
  <c r="L46" i="8"/>
  <c r="L9" i="8"/>
  <c r="D88" i="4"/>
  <c r="D91" i="4"/>
  <c r="D104" i="4"/>
  <c r="D96" i="4"/>
  <c r="F106" i="4"/>
  <c r="F103" i="4"/>
  <c r="F100" i="4"/>
  <c r="F97" i="4"/>
  <c r="F94" i="4"/>
  <c r="F91" i="4"/>
  <c r="F89" i="4"/>
  <c r="F87" i="4"/>
  <c r="P87" i="4"/>
  <c r="P89" i="4"/>
  <c r="P91" i="4"/>
  <c r="P94" i="4"/>
  <c r="P97" i="4"/>
  <c r="P100" i="4"/>
  <c r="J106" i="4"/>
  <c r="J103" i="4"/>
  <c r="J100" i="4"/>
  <c r="J97" i="4"/>
  <c r="J94" i="4"/>
  <c r="J91" i="4"/>
  <c r="J89" i="4"/>
  <c r="J87" i="4"/>
  <c r="N106" i="4"/>
  <c r="N100" i="4"/>
  <c r="N97" i="4"/>
  <c r="N94" i="4"/>
  <c r="N91" i="4"/>
  <c r="N89" i="4"/>
  <c r="N87" i="4"/>
  <c r="N105" i="4"/>
  <c r="D76" i="3"/>
  <c r="D86" i="3"/>
  <c r="D91" i="3"/>
  <c r="D79" i="3"/>
  <c r="D75" i="3"/>
  <c r="D101" i="4"/>
  <c r="D87" i="4"/>
  <c r="F90" i="2"/>
  <c r="F85" i="2"/>
  <c r="F79" i="2"/>
  <c r="F74" i="2"/>
  <c r="F91" i="2"/>
  <c r="F86" i="2"/>
  <c r="F81" i="2"/>
  <c r="F75" i="2"/>
  <c r="J88" i="5"/>
  <c r="J77" i="5"/>
  <c r="J79" i="5"/>
  <c r="J91" i="5"/>
  <c r="J74" i="5"/>
  <c r="J78" i="5"/>
  <c r="J84" i="5"/>
  <c r="J90" i="5"/>
  <c r="L48" i="3"/>
  <c r="L92" i="5"/>
  <c r="L84" i="5"/>
  <c r="L74" i="5"/>
  <c r="L77" i="5"/>
  <c r="L83" i="5"/>
  <c r="L88" i="5"/>
  <c r="L93" i="5"/>
  <c r="L81" i="5"/>
  <c r="L91" i="2"/>
  <c r="L89" i="2"/>
  <c r="L86" i="2"/>
  <c r="L84" i="2"/>
  <c r="L81" i="2"/>
  <c r="L77" i="2"/>
  <c r="L75" i="2"/>
  <c r="L73" i="2"/>
  <c r="D71" i="8"/>
  <c r="D73" i="5"/>
  <c r="D89" i="5" s="1"/>
  <c r="J22" i="8"/>
  <c r="N43" i="8"/>
  <c r="I112" i="8"/>
  <c r="I116" i="3"/>
  <c r="F35" i="8"/>
  <c r="F46" i="1"/>
  <c r="F52" i="1" s="1"/>
  <c r="F105" i="4"/>
  <c r="F99" i="4"/>
  <c r="F92" i="4"/>
  <c r="F88" i="4"/>
  <c r="E9" i="8"/>
  <c r="P97" i="1"/>
  <c r="P95" i="1"/>
  <c r="P92" i="1"/>
  <c r="P90" i="1"/>
  <c r="P87" i="1"/>
  <c r="P83" i="1"/>
  <c r="P81" i="1"/>
  <c r="P79" i="1"/>
  <c r="P74" i="2"/>
  <c r="P90" i="2"/>
  <c r="P88" i="2"/>
  <c r="P85" i="2"/>
  <c r="P82" i="2"/>
  <c r="P79" i="2"/>
  <c r="P76" i="2"/>
  <c r="P73" i="2"/>
  <c r="F77" i="2"/>
  <c r="F89" i="2"/>
  <c r="D77" i="3"/>
  <c r="D90" i="3"/>
  <c r="D84" i="3"/>
  <c r="D106" i="4"/>
  <c r="F76" i="2"/>
  <c r="F88" i="2"/>
  <c r="J83" i="5"/>
  <c r="L72" i="2"/>
  <c r="L76" i="2"/>
  <c r="L82" i="2"/>
  <c r="L88" i="2"/>
  <c r="L48" i="5"/>
  <c r="L90" i="5"/>
  <c r="L21" i="8"/>
  <c r="J21" i="8"/>
  <c r="J23" i="8"/>
  <c r="L27" i="2"/>
  <c r="F46" i="2"/>
  <c r="D48" i="3"/>
  <c r="H48" i="3"/>
  <c r="N48" i="5"/>
  <c r="N93" i="5"/>
  <c r="N76" i="5"/>
  <c r="N75" i="5"/>
  <c r="N79" i="5"/>
  <c r="N86" i="5"/>
  <c r="N91" i="5"/>
  <c r="N92" i="5"/>
  <c r="N74" i="5"/>
  <c r="N84" i="5"/>
  <c r="C116" i="3"/>
  <c r="F90" i="4"/>
  <c r="F101" i="4"/>
  <c r="J97" i="1"/>
  <c r="J78" i="1"/>
  <c r="J80" i="1"/>
  <c r="J82" i="1"/>
  <c r="J85" i="1"/>
  <c r="J88" i="1"/>
  <c r="J91" i="1"/>
  <c r="J94" i="1"/>
  <c r="J96" i="1"/>
  <c r="P75" i="2"/>
  <c r="P81" i="2"/>
  <c r="P86" i="2"/>
  <c r="P91" i="2"/>
  <c r="H48" i="5"/>
  <c r="I107" i="8"/>
  <c r="J88" i="4"/>
  <c r="N90" i="4"/>
  <c r="J92" i="4"/>
  <c r="N96" i="4"/>
  <c r="N101" i="4"/>
  <c r="R74" i="5"/>
  <c r="R75" i="5"/>
  <c r="R76" i="5"/>
  <c r="R77" i="5"/>
  <c r="R78" i="5"/>
  <c r="R79" i="5"/>
  <c r="R81" i="5"/>
  <c r="R83" i="5"/>
  <c r="R84" i="5"/>
  <c r="R86" i="5"/>
  <c r="R87" i="5"/>
  <c r="R88" i="5"/>
  <c r="R90" i="5"/>
  <c r="R91" i="5"/>
  <c r="R92" i="5"/>
  <c r="R93" i="5"/>
  <c r="D78" i="5"/>
  <c r="D77" i="5"/>
  <c r="D91" i="5"/>
  <c r="D92" i="5"/>
  <c r="D84" i="5"/>
  <c r="D85" i="5"/>
  <c r="D76" i="5"/>
  <c r="D93" i="5"/>
  <c r="R43" i="8"/>
  <c r="F75" i="5"/>
  <c r="F79" i="5"/>
  <c r="F85" i="5"/>
  <c r="F91" i="5"/>
  <c r="C112" i="8"/>
  <c r="H27" i="2"/>
  <c r="R92" i="3"/>
  <c r="R90" i="3"/>
  <c r="R87" i="3"/>
  <c r="R83" i="3"/>
  <c r="D96" i="1"/>
  <c r="D85" i="1"/>
  <c r="D90" i="1"/>
  <c r="J72" i="2"/>
  <c r="J74" i="2"/>
  <c r="J76" i="2"/>
  <c r="J79" i="2"/>
  <c r="J82" i="2"/>
  <c r="J85" i="2"/>
  <c r="J88" i="2"/>
  <c r="J75" i="3"/>
  <c r="J79" i="3"/>
  <c r="J86" i="3"/>
  <c r="J91" i="3"/>
  <c r="L79" i="2"/>
  <c r="L76" i="3"/>
  <c r="L81" i="3"/>
  <c r="L87" i="3"/>
  <c r="N72" i="2"/>
  <c r="N76" i="2"/>
  <c r="N82" i="2"/>
  <c r="N88" i="2"/>
  <c r="P77" i="2"/>
  <c r="J101" i="4"/>
  <c r="P75" i="3"/>
  <c r="P77" i="3"/>
  <c r="P79" i="3"/>
  <c r="P83" i="3"/>
  <c r="L59" i="8"/>
  <c r="T95" i="1"/>
  <c r="T91" i="3"/>
  <c r="J52" i="1"/>
  <c r="D80" i="1"/>
  <c r="D83" i="3"/>
  <c r="D78" i="3"/>
  <c r="J73" i="2"/>
  <c r="J77" i="2"/>
  <c r="J84" i="2"/>
  <c r="J89" i="2"/>
  <c r="J77" i="3"/>
  <c r="J88" i="3"/>
  <c r="N85" i="1"/>
  <c r="J90" i="4"/>
  <c r="J96" i="4"/>
  <c r="P76" i="3"/>
  <c r="P81" i="3"/>
  <c r="R91" i="3"/>
  <c r="R86" i="3"/>
  <c r="O9" i="8"/>
  <c r="T72" i="2"/>
  <c r="T74" i="2"/>
  <c r="T76" i="2"/>
  <c r="T79" i="2"/>
  <c r="T85" i="2"/>
  <c r="T90" i="2"/>
  <c r="F84" i="2"/>
  <c r="L74" i="2"/>
  <c r="D90" i="2"/>
  <c r="D88" i="2"/>
  <c r="D85" i="2"/>
  <c r="D82" i="2"/>
  <c r="D79" i="2"/>
  <c r="D76" i="2"/>
  <c r="D74" i="2"/>
  <c r="F27" i="2"/>
  <c r="J81" i="2"/>
  <c r="J91" i="2"/>
  <c r="L85" i="2"/>
  <c r="L23" i="8"/>
  <c r="T78" i="2"/>
  <c r="T81" i="2"/>
  <c r="T84" i="2"/>
  <c r="T86" i="2"/>
  <c r="T89" i="2"/>
  <c r="V81" i="5"/>
  <c r="V84" i="5"/>
  <c r="V79" i="5"/>
  <c r="V77" i="5"/>
  <c r="V75" i="5"/>
  <c r="N87" i="5"/>
  <c r="V83" i="5"/>
  <c r="V80" i="5"/>
  <c r="V78" i="5"/>
  <c r="V76" i="5"/>
  <c r="V48" i="5"/>
  <c r="F77" i="5"/>
  <c r="F88" i="5"/>
  <c r="T80" i="5"/>
  <c r="T83" i="5"/>
  <c r="T86" i="5"/>
  <c r="T88" i="5"/>
  <c r="T91" i="5"/>
  <c r="V81" i="3"/>
  <c r="V77" i="3"/>
  <c r="V79" i="3"/>
  <c r="V75" i="3"/>
  <c r="V80" i="3"/>
  <c r="V78" i="3"/>
  <c r="V76" i="3"/>
  <c r="V93" i="4"/>
  <c r="V90" i="4"/>
  <c r="V92" i="4"/>
  <c r="V88" i="4"/>
  <c r="V91" i="4"/>
  <c r="V89" i="4"/>
  <c r="V87" i="4"/>
  <c r="V90" i="2"/>
  <c r="V85" i="2"/>
  <c r="V79" i="2"/>
  <c r="V91" i="2"/>
  <c r="V89" i="2"/>
  <c r="V86" i="2"/>
  <c r="V84" i="2"/>
  <c r="V81" i="2"/>
  <c r="V75" i="2"/>
  <c r="V77" i="2"/>
  <c r="V73" i="2"/>
  <c r="V78" i="2"/>
  <c r="V76" i="2"/>
  <c r="V74" i="2"/>
  <c r="V92" i="5"/>
  <c r="V90" i="5"/>
  <c r="V87" i="5"/>
  <c r="T75" i="5"/>
  <c r="T77" i="5"/>
  <c r="T79" i="5"/>
  <c r="T84" i="5"/>
  <c r="T90" i="5"/>
  <c r="AC9" i="8" l="1"/>
  <c r="AB13" i="8"/>
  <c r="AB9" i="8"/>
  <c r="AB15" i="8"/>
  <c r="AC15" i="8"/>
  <c r="H43" i="8"/>
  <c r="H44" i="8" s="1"/>
  <c r="D75" i="5"/>
  <c r="D94" i="5"/>
  <c r="D87" i="5"/>
  <c r="D82" i="5"/>
  <c r="D81" i="5"/>
  <c r="D79" i="5"/>
  <c r="D88" i="5"/>
  <c r="D93" i="3"/>
  <c r="D88" i="3"/>
  <c r="D81" i="3"/>
  <c r="F89" i="5"/>
  <c r="F84" i="5"/>
  <c r="L76" i="5"/>
  <c r="N77" i="5"/>
  <c r="J87" i="3"/>
  <c r="J76" i="3"/>
  <c r="J90" i="2"/>
  <c r="J75" i="2"/>
  <c r="L92" i="3"/>
  <c r="L84" i="3"/>
  <c r="L74" i="3"/>
  <c r="L77" i="3"/>
  <c r="L83" i="3"/>
  <c r="L88" i="3"/>
  <c r="L93" i="3"/>
  <c r="N76" i="3"/>
  <c r="N81" i="3"/>
  <c r="N87" i="3"/>
  <c r="D87" i="3"/>
  <c r="D92" i="3"/>
  <c r="F94" i="5"/>
  <c r="F93" i="5"/>
  <c r="D72" i="2"/>
  <c r="D81" i="2"/>
  <c r="D91" i="2"/>
  <c r="J92" i="3"/>
  <c r="J93" i="3"/>
  <c r="J74" i="3"/>
  <c r="J78" i="3"/>
  <c r="J84" i="3"/>
  <c r="J90" i="3"/>
  <c r="L78" i="5"/>
  <c r="L79" i="5"/>
  <c r="L91" i="5"/>
  <c r="N93" i="3"/>
  <c r="N91" i="3"/>
  <c r="N88" i="3"/>
  <c r="N86" i="3"/>
  <c r="N83" i="3"/>
  <c r="N79" i="3"/>
  <c r="N77" i="3"/>
  <c r="N75" i="3"/>
  <c r="N91" i="2"/>
  <c r="N85" i="2"/>
  <c r="N74" i="2"/>
  <c r="N73" i="2"/>
  <c r="N77" i="2"/>
  <c r="P86" i="3"/>
  <c r="P84" i="3"/>
  <c r="P93" i="3"/>
  <c r="P91" i="3"/>
  <c r="P88" i="3"/>
  <c r="L35" i="8"/>
  <c r="L46" i="1"/>
  <c r="L52" i="1" s="1"/>
  <c r="N47" i="8"/>
  <c r="X72" i="2"/>
  <c r="X38" i="8"/>
  <c r="X74" i="3"/>
  <c r="X48" i="5"/>
  <c r="J46" i="2"/>
  <c r="J48" i="5"/>
  <c r="H47" i="8"/>
  <c r="C107" i="8"/>
  <c r="H63" i="4"/>
  <c r="P43" i="8"/>
  <c r="R48" i="5"/>
  <c r="R46" i="2"/>
  <c r="P47" i="8"/>
  <c r="S94" i="8"/>
  <c r="S92" i="8"/>
  <c r="S89" i="8"/>
  <c r="S87" i="8"/>
  <c r="S84" i="8"/>
  <c r="S81" i="8"/>
  <c r="S79" i="8"/>
  <c r="S77" i="8"/>
  <c r="S75" i="8"/>
  <c r="T63" i="4"/>
  <c r="T79" i="1"/>
  <c r="T83" i="1"/>
  <c r="T88" i="1"/>
  <c r="T91" i="1"/>
  <c r="T94" i="1"/>
  <c r="T73" i="2"/>
  <c r="T88" i="2"/>
  <c r="T88" i="4"/>
  <c r="T106" i="4"/>
  <c r="T75" i="3"/>
  <c r="T77" i="3"/>
  <c r="T79" i="3"/>
  <c r="T81" i="3"/>
  <c r="T84" i="3"/>
  <c r="T87" i="3"/>
  <c r="T90" i="3"/>
  <c r="T74" i="5"/>
  <c r="T78" i="5"/>
  <c r="T87" i="5"/>
  <c r="T93" i="5"/>
  <c r="V96" i="1"/>
  <c r="V94" i="1"/>
  <c r="V91" i="1"/>
  <c r="V88" i="1"/>
  <c r="V85" i="1"/>
  <c r="V83" i="1"/>
  <c r="V81" i="1"/>
  <c r="V52" i="1"/>
  <c r="T47" i="8"/>
  <c r="D90" i="9"/>
  <c r="D89" i="9"/>
  <c r="D88" i="9"/>
  <c r="D87" i="9"/>
  <c r="D85" i="9"/>
  <c r="D84" i="9"/>
  <c r="D83" i="9"/>
  <c r="D81" i="9"/>
  <c r="D80" i="9"/>
  <c r="D78" i="9"/>
  <c r="V76" i="9"/>
  <c r="R76" i="9"/>
  <c r="N76" i="9"/>
  <c r="J76" i="9"/>
  <c r="V75" i="9"/>
  <c r="R75" i="9"/>
  <c r="N75" i="9"/>
  <c r="J75" i="9"/>
  <c r="V74" i="9"/>
  <c r="R74" i="9"/>
  <c r="N74" i="9"/>
  <c r="J74" i="9"/>
  <c r="V73" i="9"/>
  <c r="N73" i="9"/>
  <c r="D73" i="9"/>
  <c r="V71" i="9"/>
  <c r="X78" i="1"/>
  <c r="X52" i="1"/>
  <c r="X46" i="2"/>
  <c r="X87" i="4"/>
  <c r="X43" i="8"/>
  <c r="X48" i="3"/>
  <c r="X74" i="5"/>
  <c r="X83" i="9"/>
  <c r="X78" i="9"/>
  <c r="X74" i="9"/>
  <c r="X89" i="9"/>
  <c r="X87" i="9"/>
  <c r="X81" i="9"/>
  <c r="X76" i="9"/>
  <c r="X73" i="9"/>
  <c r="X90" i="2"/>
  <c r="X92" i="4"/>
  <c r="X92" i="5"/>
  <c r="X85" i="2"/>
  <c r="X79" i="2"/>
  <c r="X88" i="1"/>
  <c r="X88" i="4"/>
  <c r="C116" i="8"/>
  <c r="X73" i="8"/>
  <c r="X82" i="8" s="1"/>
  <c r="F75" i="3"/>
  <c r="F77" i="3"/>
  <c r="F79" i="3"/>
  <c r="F83" i="3"/>
  <c r="F86" i="3"/>
  <c r="F88" i="3"/>
  <c r="F91" i="3"/>
  <c r="F82" i="5"/>
  <c r="D89" i="2"/>
  <c r="D84" i="2"/>
  <c r="D77" i="2"/>
  <c r="D73" i="2"/>
  <c r="N48" i="3"/>
  <c r="N9" i="8"/>
  <c r="N96" i="1"/>
  <c r="N97" i="1"/>
  <c r="P78" i="3"/>
  <c r="R93" i="3"/>
  <c r="T78" i="1"/>
  <c r="T80" i="1"/>
  <c r="T82" i="1"/>
  <c r="T84" i="1"/>
  <c r="T87" i="1"/>
  <c r="T75" i="2"/>
  <c r="T82" i="2"/>
  <c r="T87" i="4"/>
  <c r="T89" i="4"/>
  <c r="T91" i="4"/>
  <c r="T93" i="4"/>
  <c r="T96" i="4"/>
  <c r="T99" i="4"/>
  <c r="T101" i="4"/>
  <c r="T104" i="4"/>
  <c r="V92" i="3"/>
  <c r="V90" i="3"/>
  <c r="V87" i="3"/>
  <c r="V84" i="3"/>
  <c r="X79" i="1"/>
  <c r="T73" i="9"/>
  <c r="P73" i="9"/>
  <c r="L73" i="9"/>
  <c r="T72" i="9"/>
  <c r="P72" i="9"/>
  <c r="L72" i="9"/>
  <c r="V46" i="9"/>
  <c r="X89" i="8"/>
  <c r="X87" i="8"/>
  <c r="F43" i="8"/>
  <c r="C117" i="8"/>
  <c r="I117" i="8"/>
  <c r="X84" i="9"/>
  <c r="X77" i="9"/>
  <c r="X72" i="9"/>
  <c r="X90" i="9"/>
  <c r="X85" i="9"/>
  <c r="X80" i="9"/>
  <c r="X75" i="9"/>
  <c r="X81" i="5"/>
  <c r="X87" i="5"/>
  <c r="X77" i="5"/>
  <c r="X90" i="5"/>
  <c r="X84" i="5"/>
  <c r="X79" i="5"/>
  <c r="X75" i="5"/>
  <c r="X91" i="5"/>
  <c r="X86" i="5"/>
  <c r="X80" i="5"/>
  <c r="X76" i="5"/>
  <c r="X93" i="5"/>
  <c r="X88" i="5"/>
  <c r="X83" i="5"/>
  <c r="X78" i="5"/>
  <c r="N25" i="8"/>
  <c r="H38" i="8"/>
  <c r="X92" i="3"/>
  <c r="X86" i="3"/>
  <c r="X79" i="3"/>
  <c r="X91" i="3"/>
  <c r="X84" i="3"/>
  <c r="X90" i="3"/>
  <c r="X81" i="3"/>
  <c r="X76" i="3"/>
  <c r="X77" i="3"/>
  <c r="X87" i="3"/>
  <c r="X80" i="3"/>
  <c r="X75" i="3"/>
  <c r="X93" i="3"/>
  <c r="X88" i="3"/>
  <c r="X83" i="3"/>
  <c r="X78" i="3"/>
  <c r="R73" i="8"/>
  <c r="R88" i="8" s="1"/>
  <c r="T73" i="8"/>
  <c r="T93" i="8" s="1"/>
  <c r="I116" i="8"/>
  <c r="T38" i="8"/>
  <c r="T44" i="8" s="1"/>
  <c r="P117" i="8"/>
  <c r="D43" i="8"/>
  <c r="F73" i="8"/>
  <c r="F84" i="8" s="1"/>
  <c r="L38" i="8"/>
  <c r="L44" i="8" s="1"/>
  <c r="X104" i="4"/>
  <c r="X97" i="4"/>
  <c r="X90" i="4"/>
  <c r="X103" i="4"/>
  <c r="X94" i="4"/>
  <c r="X89" i="4"/>
  <c r="X106" i="4"/>
  <c r="X101" i="4"/>
  <c r="X96" i="4"/>
  <c r="X91" i="4"/>
  <c r="D73" i="8"/>
  <c r="D76" i="8" s="1"/>
  <c r="I114" i="8"/>
  <c r="N38" i="8"/>
  <c r="N44" i="8" s="1"/>
  <c r="V73" i="8"/>
  <c r="V80" i="8" s="1"/>
  <c r="H25" i="8"/>
  <c r="N73" i="8"/>
  <c r="N89" i="8" s="1"/>
  <c r="P116" i="8"/>
  <c r="P114" i="8"/>
  <c r="V38" i="8"/>
  <c r="V44" i="8" s="1"/>
  <c r="X75" i="2"/>
  <c r="X88" i="2"/>
  <c r="X82" i="2"/>
  <c r="X77" i="2"/>
  <c r="X73" i="2"/>
  <c r="X89" i="2"/>
  <c r="X84" i="2"/>
  <c r="X78" i="2"/>
  <c r="X74" i="2"/>
  <c r="X91" i="2"/>
  <c r="X86" i="2"/>
  <c r="X81" i="2"/>
  <c r="X76" i="2"/>
  <c r="F79" i="8"/>
  <c r="J43" i="8"/>
  <c r="D38" i="8"/>
  <c r="T53" i="8"/>
  <c r="R38" i="8"/>
  <c r="R44" i="8" s="1"/>
  <c r="J25" i="8"/>
  <c r="F38" i="8"/>
  <c r="F44" i="8" s="1"/>
  <c r="L25" i="8"/>
  <c r="C115" i="8"/>
  <c r="H73" i="8"/>
  <c r="H79" i="8" s="1"/>
  <c r="L73" i="8"/>
  <c r="L92" i="8" s="1"/>
  <c r="X94" i="1"/>
  <c r="X83" i="1"/>
  <c r="X96" i="1"/>
  <c r="X85" i="1"/>
  <c r="X91" i="1"/>
  <c r="X81" i="1"/>
  <c r="X95" i="1"/>
  <c r="X90" i="1"/>
  <c r="X84" i="1"/>
  <c r="X80" i="1"/>
  <c r="X97" i="1"/>
  <c r="X92" i="1"/>
  <c r="X87" i="1"/>
  <c r="X82" i="1"/>
  <c r="D94" i="8"/>
  <c r="R75" i="8"/>
  <c r="T76" i="8"/>
  <c r="T91" i="8"/>
  <c r="T80" i="8"/>
  <c r="T88" i="8"/>
  <c r="T85" i="8"/>
  <c r="T82" i="8"/>
  <c r="T94" i="8"/>
  <c r="F87" i="8"/>
  <c r="F89" i="8"/>
  <c r="F76" i="8"/>
  <c r="F88" i="8"/>
  <c r="H84" i="8"/>
  <c r="L84" i="8"/>
  <c r="F78" i="8"/>
  <c r="F85" i="8"/>
  <c r="P73" i="8"/>
  <c r="P93" i="8" s="1"/>
  <c r="V93" i="8"/>
  <c r="C114" i="8"/>
  <c r="L80" i="8"/>
  <c r="P38" i="8"/>
  <c r="I115" i="8"/>
  <c r="T89" i="8"/>
  <c r="T84" i="8"/>
  <c r="T79" i="8"/>
  <c r="S57" i="8"/>
  <c r="F82" i="8"/>
  <c r="F93" i="8"/>
  <c r="F25" i="8"/>
  <c r="F80" i="8"/>
  <c r="L75" i="8"/>
  <c r="D25" i="8"/>
  <c r="D88" i="8"/>
  <c r="J38" i="8"/>
  <c r="L57" i="8"/>
  <c r="J73" i="8"/>
  <c r="J93" i="8" s="1"/>
  <c r="X94" i="8" l="1"/>
  <c r="X79" i="8"/>
  <c r="X77" i="8"/>
  <c r="L91" i="8"/>
  <c r="T77" i="8"/>
  <c r="L93" i="8"/>
  <c r="R94" i="8"/>
  <c r="X92" i="8"/>
  <c r="X81" i="8"/>
  <c r="X75" i="8"/>
  <c r="X84" i="8"/>
  <c r="X91" i="8"/>
  <c r="X44" i="8"/>
  <c r="X78" i="8"/>
  <c r="X88" i="8"/>
  <c r="X93" i="8"/>
  <c r="X85" i="8"/>
  <c r="X76" i="8"/>
  <c r="X80" i="8"/>
  <c r="T92" i="8"/>
  <c r="V87" i="8"/>
  <c r="V82" i="8"/>
  <c r="V85" i="8"/>
  <c r="V81" i="8"/>
  <c r="R91" i="8"/>
  <c r="J44" i="8"/>
  <c r="L78" i="8"/>
  <c r="T75" i="8"/>
  <c r="F94" i="8"/>
  <c r="T81" i="8"/>
  <c r="F75" i="8"/>
  <c r="T78" i="8"/>
  <c r="T87" i="8"/>
  <c r="V89" i="8"/>
  <c r="V77" i="8"/>
  <c r="V88" i="8"/>
  <c r="D80" i="8"/>
  <c r="L94" i="8"/>
  <c r="L85" i="8"/>
  <c r="R84" i="8"/>
  <c r="V94" i="8"/>
  <c r="V84" i="8"/>
  <c r="N87" i="8"/>
  <c r="N77" i="8"/>
  <c r="L87" i="8"/>
  <c r="L76" i="8"/>
  <c r="R89" i="8"/>
  <c r="D75" i="8"/>
  <c r="R82" i="8"/>
  <c r="R79" i="8"/>
  <c r="P89" i="8"/>
  <c r="R77" i="8"/>
  <c r="R80" i="8"/>
  <c r="R78" i="8"/>
  <c r="V92" i="8"/>
  <c r="V91" i="8"/>
  <c r="R85" i="8"/>
  <c r="L88" i="8"/>
  <c r="N75" i="8"/>
  <c r="R81" i="8"/>
  <c r="V78" i="8"/>
  <c r="R93" i="8"/>
  <c r="F91" i="8"/>
  <c r="L82" i="8"/>
  <c r="F77" i="8"/>
  <c r="F92" i="8"/>
  <c r="R87" i="8"/>
  <c r="R76" i="8"/>
  <c r="R92" i="8"/>
  <c r="D44" i="8"/>
  <c r="N78" i="8"/>
  <c r="D85" i="8"/>
  <c r="N92" i="8"/>
  <c r="D77" i="8"/>
  <c r="D92" i="8"/>
  <c r="N80" i="8"/>
  <c r="N94" i="8"/>
  <c r="N93" i="8"/>
  <c r="N85" i="8"/>
  <c r="L77" i="8"/>
  <c r="L79" i="8"/>
  <c r="L89" i="8"/>
  <c r="D84" i="8"/>
  <c r="D78" i="8"/>
  <c r="D93" i="8"/>
  <c r="V75" i="8"/>
  <c r="N76" i="8"/>
  <c r="N91" i="8"/>
  <c r="V76" i="8"/>
  <c r="V79" i="8"/>
  <c r="N88" i="8"/>
  <c r="N82" i="8"/>
  <c r="N79" i="8"/>
  <c r="N84" i="8"/>
  <c r="D79" i="8"/>
  <c r="D89" i="8"/>
  <c r="D87" i="8"/>
  <c r="D82" i="8"/>
  <c r="D91" i="8"/>
  <c r="H85" i="8"/>
  <c r="H82" i="8"/>
  <c r="J76" i="8"/>
  <c r="H89" i="8"/>
  <c r="H75" i="8"/>
  <c r="H91" i="8"/>
  <c r="H88" i="8"/>
  <c r="H93" i="8"/>
  <c r="H87" i="8"/>
  <c r="H80" i="8"/>
  <c r="H76" i="8"/>
  <c r="H92" i="8"/>
  <c r="H77" i="8"/>
  <c r="H94" i="8"/>
  <c r="H78" i="8"/>
  <c r="J84" i="8"/>
  <c r="J77" i="8"/>
  <c r="J82" i="8"/>
  <c r="P92" i="8"/>
  <c r="P87" i="8"/>
  <c r="P94" i="8"/>
  <c r="P91" i="8"/>
  <c r="P85" i="8"/>
  <c r="P79" i="8"/>
  <c r="P78" i="8"/>
  <c r="P80" i="8"/>
  <c r="P84" i="8"/>
  <c r="P75" i="8"/>
  <c r="P76" i="8"/>
  <c r="J94" i="8"/>
  <c r="J80" i="8"/>
  <c r="J79" i="8"/>
  <c r="J78" i="8"/>
  <c r="J75" i="8"/>
  <c r="J92" i="8"/>
  <c r="J87" i="8"/>
  <c r="J91" i="8"/>
  <c r="J85" i="8"/>
  <c r="J88" i="8"/>
  <c r="P77" i="8"/>
  <c r="P44" i="8"/>
  <c r="P88" i="8"/>
  <c r="P82" i="8"/>
  <c r="J89" i="8"/>
</calcChain>
</file>

<file path=xl/sharedStrings.xml><?xml version="1.0" encoding="utf-8"?>
<sst xmlns="http://schemas.openxmlformats.org/spreadsheetml/2006/main" count="2316" uniqueCount="214">
  <si>
    <t># of</t>
  </si>
  <si>
    <t>Degrees</t>
  </si>
  <si>
    <t>Majors</t>
  </si>
  <si>
    <t>Conferred</t>
  </si>
  <si>
    <t># of Majors &amp; Degrees Conferred:</t>
  </si>
  <si>
    <t>Bachelors Program</t>
  </si>
  <si>
    <t>Masters Program</t>
  </si>
  <si>
    <t>Doctorate Program</t>
  </si>
  <si>
    <t>Student Credit Hours Generated:</t>
  </si>
  <si>
    <t>(Base courses only)</t>
  </si>
  <si>
    <t>Lower Division (0-299 level)</t>
  </si>
  <si>
    <t>Upper Division (300-699 level)</t>
  </si>
  <si>
    <t>Graduate I (700-899 level)</t>
  </si>
  <si>
    <t>Graduate II (900-999 level)</t>
  </si>
  <si>
    <t>Total</t>
  </si>
  <si>
    <t>Instructional Expenditures</t>
  </si>
  <si>
    <t>Research/Public Serv. Expenditures</t>
  </si>
  <si>
    <t>Grants/Contracts Awarded:</t>
  </si>
  <si>
    <t>FTE</t>
  </si>
  <si>
    <t xml:space="preserve"> </t>
  </si>
  <si>
    <t>xxxxx</t>
  </si>
  <si>
    <t>Interior Design - 50.0408</t>
  </si>
  <si>
    <t>Undergraduate Program</t>
  </si>
  <si>
    <t>Department:  General Home Economics  (Dean's Office)</t>
  </si>
  <si>
    <t>Department:  School of Family Studies and Human Services</t>
  </si>
  <si>
    <t>Department:  Apparel Textiles, and Interior Design</t>
  </si>
  <si>
    <t xml:space="preserve">Department:  Human Nutrition </t>
  </si>
  <si>
    <t>FY 2004</t>
  </si>
  <si>
    <t>FY 2005</t>
  </si>
  <si>
    <t>Fall 2003</t>
  </si>
  <si>
    <t>Fall 2004</t>
  </si>
  <si>
    <t>Faculty Demographics:</t>
  </si>
  <si>
    <t xml:space="preserve">Instructional </t>
  </si>
  <si>
    <t>Full-time</t>
  </si>
  <si>
    <t xml:space="preserve">Research </t>
  </si>
  <si>
    <t>Grants/Contracts Proposed:</t>
  </si>
  <si>
    <t>Communication Sciences and Disorders (Comm. Disorders, General) - 51.0201</t>
  </si>
  <si>
    <t>B. Financial Information:</t>
  </si>
  <si>
    <t>Budgeted Dollars:</t>
  </si>
  <si>
    <t>Main Campus</t>
  </si>
  <si>
    <t>General Use</t>
  </si>
  <si>
    <t>Total Main Campus</t>
  </si>
  <si>
    <t>Research &amp; Extension</t>
  </si>
  <si>
    <t>Total Research &amp; Extension</t>
  </si>
  <si>
    <t>Total Department</t>
  </si>
  <si>
    <t>A.  Student Information</t>
  </si>
  <si>
    <t>C. Faculty Information</t>
  </si>
  <si>
    <t>Minor's Program</t>
  </si>
  <si>
    <t>Graduate Certificate Program</t>
  </si>
  <si>
    <t>Other (Grants, contracts, SRO, fees, sales &amp; service, copy centers, storerooms, etc)</t>
  </si>
  <si>
    <t>Foundation Accounts:</t>
  </si>
  <si>
    <t xml:space="preserve">  </t>
  </si>
  <si>
    <t>Total Donations</t>
  </si>
  <si>
    <t>Endowed Chairs</t>
  </si>
  <si>
    <t>Minors Programs</t>
  </si>
  <si>
    <t>Doctorate Programs</t>
  </si>
  <si>
    <t>Graduate Certificate Programs</t>
  </si>
  <si>
    <t>White</t>
  </si>
  <si>
    <t>Black</t>
  </si>
  <si>
    <t>Hispanic</t>
  </si>
  <si>
    <t>Native American</t>
  </si>
  <si>
    <t xml:space="preserve">Asian </t>
  </si>
  <si>
    <t>Non-Resident</t>
  </si>
  <si>
    <t>Unknown</t>
  </si>
  <si>
    <t>Male</t>
  </si>
  <si>
    <t>Female</t>
  </si>
  <si>
    <t>Tenure</t>
  </si>
  <si>
    <t>Tenure-Track</t>
  </si>
  <si>
    <t>Non-Tenured</t>
  </si>
  <si>
    <t>Ph. D.</t>
  </si>
  <si>
    <t>M.S.</t>
  </si>
  <si>
    <t>B.S.</t>
  </si>
  <si>
    <t>Other</t>
  </si>
  <si>
    <t>Secondary Major Program</t>
  </si>
  <si>
    <t>N</t>
  </si>
  <si>
    <t>%</t>
  </si>
  <si>
    <t>Ethnicity</t>
  </si>
  <si>
    <t>Gender</t>
  </si>
  <si>
    <t>Tenure Status</t>
  </si>
  <si>
    <t>Highest Degree</t>
  </si>
  <si>
    <t>$</t>
  </si>
  <si>
    <t>Human Nutrition - 19.0504*</t>
  </si>
  <si>
    <t>Athletic Training/Trainer - 51.0913</t>
  </si>
  <si>
    <t>FY 2006</t>
  </si>
  <si>
    <t>Total Annual Donations</t>
  </si>
  <si>
    <t>Endowed Chairs - Cumulative Total</t>
  </si>
  <si>
    <t>Veterinary Medicine</t>
  </si>
  <si>
    <t>*Includes Instructional Support and Instructional Reserve.</t>
  </si>
  <si>
    <t>Main Campus*</t>
  </si>
  <si>
    <t xml:space="preserve">Research &amp; Extension Units </t>
  </si>
  <si>
    <t xml:space="preserve">Academic Units </t>
  </si>
  <si>
    <t xml:space="preserve">Total Grants &amp; Contracts Proposed </t>
  </si>
  <si>
    <t xml:space="preserve">Total Grants &amp; Contracts </t>
  </si>
  <si>
    <t>FY 2007</t>
  </si>
  <si>
    <t>FY 2008</t>
  </si>
  <si>
    <t>Department:  Hospitality Management and Dietetics</t>
  </si>
  <si>
    <t>Dietetics- 51.3101</t>
  </si>
  <si>
    <t>Dietetics- 19.0501</t>
  </si>
  <si>
    <t>Master's Program</t>
  </si>
  <si>
    <t>Undergraduate Certificate Programs</t>
  </si>
  <si>
    <t>FY 2009</t>
  </si>
  <si>
    <t>HE Graduate Non-Degree DCE Master's</t>
  </si>
  <si>
    <t>Number of majors &amp; degrees conferred include second majors.</t>
  </si>
  <si>
    <t>Part-time</t>
  </si>
  <si>
    <t xml:space="preserve">Graduate Assistants </t>
  </si>
  <si>
    <t>GRAs</t>
  </si>
  <si>
    <t>GTAs</t>
  </si>
  <si>
    <t xml:space="preserve">     1.  Their Undergraduate Majors</t>
  </si>
  <si>
    <t xml:space="preserve">     2.  Their Graduate Majors</t>
  </si>
  <si>
    <t xml:space="preserve">     3.  Non-Majors</t>
  </si>
  <si>
    <t xml:space="preserve">     1.  Tenure/Tenure Track Faculty</t>
  </si>
  <si>
    <t xml:space="preserve">     2.  Graduate Teaching Assistants</t>
  </si>
  <si>
    <t xml:space="preserve">            a.  Instructor of Record</t>
  </si>
  <si>
    <t xml:space="preserve">            b.  Not Instructor of Record</t>
  </si>
  <si>
    <t xml:space="preserve">     3.  Other</t>
  </si>
  <si>
    <t xml:space="preserve">     4.  Total FTE (1 to 3)</t>
  </si>
  <si>
    <t xml:space="preserve">     5.  SCH Generated by Faculty</t>
  </si>
  <si>
    <t xml:space="preserve">     6.  SCH Generated by GTA's</t>
  </si>
  <si>
    <t xml:space="preserve">     7.  SCH Generated by Others</t>
  </si>
  <si>
    <t xml:space="preserve">    12.  Ave. SCH per FTE</t>
  </si>
  <si>
    <t>Fall 2005</t>
  </si>
  <si>
    <t>Fall 2006</t>
  </si>
  <si>
    <t>Fall 2007</t>
  </si>
  <si>
    <t>Fall 2008</t>
  </si>
  <si>
    <t>% Departmental SCH taken by:</t>
  </si>
  <si>
    <t>SCH:</t>
  </si>
  <si>
    <t>RATE (SCH per FTE):</t>
  </si>
  <si>
    <t xml:space="preserve">     9.  Ave. SCH per Tenure/ Ten Trk </t>
  </si>
  <si>
    <t xml:space="preserve">    10. Ave. SCH per GTA (I of R only)</t>
  </si>
  <si>
    <t xml:space="preserve">    11. Ave. SCH per Other Faculty</t>
  </si>
  <si>
    <t xml:space="preserve">     8.            Total SCH</t>
  </si>
  <si>
    <t xml:space="preserve">Instructional FTE: </t>
  </si>
  <si>
    <t>GAs</t>
  </si>
  <si>
    <t>Five Year Average</t>
  </si>
  <si>
    <t>Bachelor's Program</t>
  </si>
  <si>
    <t>Human Ecology, Undeclared- 24.0102</t>
  </si>
  <si>
    <t>Master's Programs</t>
  </si>
  <si>
    <t>Bachelor's Programs</t>
  </si>
  <si>
    <t>Master of Science (GPIDEA)</t>
  </si>
  <si>
    <t>Nutrition &amp; Exercise Science**</t>
  </si>
  <si>
    <t>Human Ecology, General - 19.0101</t>
  </si>
  <si>
    <t>Human Ecology/Human Sciences Communications - 19.0202</t>
  </si>
  <si>
    <t>Gerontology - 30.1101</t>
  </si>
  <si>
    <t>FY 2010</t>
  </si>
  <si>
    <t>Fall 2009</t>
  </si>
  <si>
    <t>Family Studies and Human Services - 19.0701</t>
  </si>
  <si>
    <t>Early Childhood Education- 19.0706</t>
  </si>
  <si>
    <t>Minor's Program (CATS)</t>
  </si>
  <si>
    <t>Family Economics (Finan. Plan.) - 19.0403</t>
  </si>
  <si>
    <t>FY 2011</t>
  </si>
  <si>
    <t>Fall 2010</t>
  </si>
  <si>
    <t>Bachelor's Program (dsc.2004)</t>
  </si>
  <si>
    <t>Sponsored Research Overhead</t>
  </si>
  <si>
    <t>Other (Grants, contracts, fees, sales &amp; service, copy centers, storerooms, etc)</t>
  </si>
  <si>
    <t>Fall 2009*</t>
  </si>
  <si>
    <t>Two or More Races</t>
  </si>
  <si>
    <t>Expenditures (General Use &amp; SRO Only)*</t>
  </si>
  <si>
    <t>Expenditures (General Use &amp; SRO Only)</t>
  </si>
  <si>
    <t>*Human Ecology Education majors are offically counted in the College of Human Ecology, General Human Ecology.  The resources and support for the program are primarily provided by the Department of Secondary Education in the College of Education.</t>
  </si>
  <si>
    <r>
      <t xml:space="preserve">Bachelor's Program (all </t>
    </r>
    <r>
      <rPr>
        <i/>
        <sz val="9"/>
        <rFont val="Arial"/>
        <family val="2"/>
      </rPr>
      <t>except</t>
    </r>
    <r>
      <rPr>
        <sz val="9"/>
        <rFont val="Arial"/>
        <family val="2"/>
      </rPr>
      <t xml:space="preserve"> FCSED)</t>
    </r>
  </si>
  <si>
    <t xml:space="preserve">Graduate Certificate Program(PFPC) </t>
  </si>
  <si>
    <t>Personal Financial Planning -19.0401</t>
  </si>
  <si>
    <t>new</t>
  </si>
  <si>
    <t xml:space="preserve">in </t>
  </si>
  <si>
    <t>Fall 2011</t>
  </si>
  <si>
    <t>Minor Program</t>
  </si>
  <si>
    <t>xxxx</t>
  </si>
  <si>
    <t>FY 2012</t>
  </si>
  <si>
    <t>Endowed Faculty Support Funds</t>
  </si>
  <si>
    <t>XXX</t>
  </si>
  <si>
    <t>Number of majors &amp; degrees conferred include second majors</t>
  </si>
  <si>
    <t>*includes all students in Human Nutrition, including those earning dual degrees in the Nutrition and Exercise science program.  Master of Public Health majors are not included here.  They are reported in the Veterinary Medicine Department Profiles.</t>
  </si>
  <si>
    <t>Family and Community Service - 19.0707</t>
  </si>
  <si>
    <t>New</t>
  </si>
  <si>
    <t>Spring</t>
  </si>
  <si>
    <t>Apparel &amp; Textiles - 19.0901</t>
  </si>
  <si>
    <t>Conflict Resolution - 30.2801</t>
  </si>
  <si>
    <t>UG Certificate (CCONRS)</t>
  </si>
  <si>
    <t>Graduate Certificate (CCNRES)</t>
  </si>
  <si>
    <t>Graduate Certificate -CYDPDC</t>
  </si>
  <si>
    <t>Graduate Certificate -CYDADC</t>
  </si>
  <si>
    <t>FY 2013</t>
  </si>
  <si>
    <t>Fall 2012</t>
  </si>
  <si>
    <t>Hospitality Management - 52.0901</t>
  </si>
  <si>
    <r>
      <t>Total Department -</t>
    </r>
    <r>
      <rPr>
        <sz val="9"/>
        <rFont val="Arial"/>
        <family val="2"/>
      </rPr>
      <t xml:space="preserve"> </t>
    </r>
    <r>
      <rPr>
        <i/>
        <sz val="9"/>
        <rFont val="Arial"/>
        <family val="2"/>
      </rPr>
      <t>includes Community Health Institute</t>
    </r>
  </si>
  <si>
    <t># of majors &amp; degrees conferred include second majors.</t>
  </si>
  <si>
    <t>*Dual degree program with Foods and Nutrition Department in the College of Human Ecology.  For FY 2005 and FY 2006 enrollment, these students appear in the Kinesiology (31.0505) totals.</t>
  </si>
  <si>
    <t xml:space="preserve">Nutrition &amp; Exercise -subplan* </t>
  </si>
  <si>
    <t xml:space="preserve">New in </t>
  </si>
  <si>
    <r>
      <t xml:space="preserve">Kinesiology  - 31.0505 (all </t>
    </r>
    <r>
      <rPr>
        <sz val="9"/>
        <rFont val="Arial"/>
        <family val="2"/>
      </rPr>
      <t>except</t>
    </r>
    <r>
      <rPr>
        <i/>
        <sz val="9"/>
        <rFont val="Arial"/>
        <family val="2"/>
      </rPr>
      <t xml:space="preserve"> Nut.&amp; Ex. subplan)</t>
    </r>
  </si>
  <si>
    <t xml:space="preserve">Degrees </t>
  </si>
  <si>
    <t xml:space="preserve"># of </t>
  </si>
  <si>
    <t xml:space="preserve">Department:  Kinesiology </t>
  </si>
  <si>
    <t>Hospitality and Dietetics Administration - 52.0901</t>
  </si>
  <si>
    <t>FY 2014</t>
  </si>
  <si>
    <t>Fall 2013</t>
  </si>
  <si>
    <t>*Note: For the 2009 collection cycle and later, Instructional FTE was defined according to the national Delaware Study of Instructional Costs and Productivity</t>
  </si>
  <si>
    <t>Conferred*</t>
  </si>
  <si>
    <t>*degrees conferred by College of Arts and Sciences - shown here for reference only</t>
  </si>
  <si>
    <t>Instructional Expenditures*</t>
  </si>
  <si>
    <t>Research/Public Serv. Expenditures*</t>
  </si>
  <si>
    <t>*Kinesiology included after FY 2012</t>
  </si>
  <si>
    <t>* does NOT include Kinesiology majors or degrees awarded until FY 2014</t>
  </si>
  <si>
    <t>FY 2015</t>
  </si>
  <si>
    <t>Fall 2014</t>
  </si>
  <si>
    <t>Department Profile Report - FY 2013</t>
  </si>
  <si>
    <t>*After FY 2005, Dean's office expenditures do not include monies redistributed by enrollment to instructional departments</t>
  </si>
  <si>
    <t>Bachelor's -subplan (FCSED)*</t>
  </si>
  <si>
    <t>College of Human Ecology Profile Summary Report - 2010-2015</t>
  </si>
  <si>
    <t>Department Profile Report - FY 2015</t>
  </si>
  <si>
    <r>
      <t xml:space="preserve">Academic Departments Only - </t>
    </r>
    <r>
      <rPr>
        <b/>
        <sz val="10"/>
        <rFont val="Arial"/>
        <family val="2"/>
      </rPr>
      <t>does NOT include Kinesiology until after FY 2013</t>
    </r>
  </si>
  <si>
    <t xml:space="preserve">Graduate Certificate Program(FINTH) </t>
  </si>
  <si>
    <t>**Dual degree program with Kinesiology Department  - these students have also been included in the Human Nutrition totals (above) -  do NOT double count!</t>
  </si>
  <si>
    <t>Personal Financial Planning - 52.0804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</si>
</sst>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3" formatCode="_(* #,##0.00_);_(* \(#,##0.00\);_(* &quot;-&quot;??_);_(@_)"/>
    <numFmt numFmtId="164" formatCode="&quot;$&quot;#,##0\ ;\(&quot;$&quot;#,##0\)"/>
    <numFmt numFmtId="165" formatCode="&quot;$&quot;#,##0.00\ ;\(&quot;$&quot;#,##0.00\)"/>
    <numFmt numFmtId="166" formatCode="0.0%"/>
    <numFmt numFmtId="167" formatCode="#,##0.0"/>
    <numFmt numFmtId="168" formatCode="_(* #,##0_);_(* \(#,##0\);_(* &quot;-&quot;??_);_(@_)"/>
    <numFmt numFmtId="169" formatCode="0.0"/>
    <numFmt numFmtId="170" formatCode="&quot;$&quot;#,##0"/>
    <numFmt numFmtId="171" formatCode="&quot;$&quot;#,##0.00;[Red]&quot;$&quot;#,##0.00"/>
    <numFmt numFmtId="172" formatCode="&quot;$&quot;#,##0.00"/>
    <numFmt numFmtId="173" formatCode="&quot;$&quot;#,##0;[Red]&quot;$&quot;#,##0"/>
  </numFmts>
  <fonts count="51" x14ac:knownFonts="1">
    <font>
      <sz val="10"/>
      <name val="Arial"/>
    </font>
    <font>
      <b/>
      <sz val="18"/>
      <name val="Arial"/>
      <family val="2"/>
    </font>
    <font>
      <b/>
      <sz val="12"/>
      <name val="Arial"/>
      <family val="2"/>
    </font>
    <font>
      <b/>
      <sz val="9"/>
      <name val="Arial"/>
      <family val="2"/>
    </font>
    <font>
      <sz val="9"/>
      <name val="Arial"/>
      <family val="2"/>
    </font>
    <font>
      <i/>
      <sz val="9"/>
      <name val="Arial"/>
      <family val="2"/>
    </font>
    <font>
      <b/>
      <sz val="10"/>
      <name val="Arial"/>
      <family val="2"/>
    </font>
    <font>
      <b/>
      <sz val="14"/>
      <name val="Arial"/>
      <family val="2"/>
    </font>
    <font>
      <sz val="7"/>
      <name val="Arial"/>
      <family val="2"/>
    </font>
    <font>
      <sz val="8"/>
      <name val="Arial"/>
      <family val="2"/>
    </font>
    <font>
      <u/>
      <sz val="9"/>
      <name val="Arial"/>
      <family val="2"/>
    </font>
    <font>
      <sz val="9"/>
      <name val="Arial"/>
      <family val="2"/>
    </font>
    <font>
      <sz val="12"/>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52"/>
      <name val="Calibri"/>
      <family val="2"/>
    </font>
    <font>
      <sz val="11"/>
      <name val="Georg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color indexed="8"/>
      <name val="MS Sans Serif"/>
      <family val="2"/>
    </font>
    <font>
      <b/>
      <sz val="18"/>
      <color indexed="56"/>
      <name val="Cambria"/>
      <family val="2"/>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6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s>
  <borders count="1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diagonal/>
    </border>
    <border>
      <left style="double">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style="medium">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diagonal/>
    </border>
    <border>
      <left style="medium">
        <color indexed="64"/>
      </left>
      <right/>
      <top/>
      <bottom style="double">
        <color indexed="64"/>
      </bottom>
      <diagonal/>
    </border>
    <border>
      <left style="medium">
        <color indexed="64"/>
      </left>
      <right/>
      <top style="medium">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double">
        <color indexed="64"/>
      </right>
      <top/>
      <bottom/>
      <diagonal/>
    </border>
    <border>
      <left style="double">
        <color indexed="64"/>
      </left>
      <right style="medium">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47">
    <xf numFmtId="0" fontId="0" fillId="0" borderId="0"/>
    <xf numFmtId="0" fontId="34" fillId="27"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4" fillId="2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4" fillId="2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4" fillId="3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31"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34" fillId="3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3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36"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3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3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5" fillId="3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5" fillId="4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4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5" fillId="4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5" fillId="4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5" fillId="4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5" fillId="4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5" fillId="4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5" fillId="4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5" fillId="4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5" fillId="5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6" fillId="51"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7" fillId="52" borderId="148" applyNumberFormat="0" applyAlignment="0" applyProtection="0"/>
    <xf numFmtId="0" fontId="24" fillId="22" borderId="1" applyNumberFormat="0" applyAlignment="0" applyProtection="0"/>
    <xf numFmtId="0" fontId="24" fillId="22" borderId="1" applyNumberFormat="0" applyAlignment="0" applyProtection="0"/>
    <xf numFmtId="0" fontId="38" fillId="53" borderId="149" applyNumberFormat="0" applyAlignment="0" applyProtection="0"/>
    <xf numFmtId="0" fontId="18" fillId="23" borderId="2" applyNumberFormat="0" applyAlignment="0" applyProtection="0"/>
    <xf numFmtId="0" fontId="18" fillId="23" borderId="2" applyNumberFormat="0" applyAlignment="0" applyProtection="0"/>
    <xf numFmtId="4" fontId="14"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3"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4" fillId="0" borderId="0" applyFon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14" fillId="0" borderId="0" applyFont="0" applyFill="0" applyBorder="0" applyAlignment="0" applyProtection="0"/>
    <xf numFmtId="0" fontId="40"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 fillId="0" borderId="0" applyNumberFormat="0" applyFill="0" applyBorder="0" applyAlignment="0" applyProtection="0"/>
    <xf numFmtId="0" fontId="41" fillId="0" borderId="150"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 fillId="0" borderId="0" applyNumberFormat="0" applyFill="0" applyBorder="0" applyAlignment="0" applyProtection="0"/>
    <xf numFmtId="0" fontId="42" fillId="0" borderId="151"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3" fillId="0" borderId="152"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55" borderId="148" applyNumberFormat="0" applyAlignment="0" applyProtection="0"/>
    <xf numFmtId="0" fontId="21" fillId="8" borderId="1" applyNumberFormat="0" applyAlignment="0" applyProtection="0"/>
    <xf numFmtId="0" fontId="21" fillId="8" borderId="1" applyNumberFormat="0" applyAlignment="0" applyProtection="0"/>
    <xf numFmtId="0" fontId="45" fillId="0" borderId="153"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46" fillId="5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5" fillId="0" borderId="0"/>
    <xf numFmtId="0" fontId="14" fillId="0" borderId="0"/>
    <xf numFmtId="0" fontId="31" fillId="0" borderId="0"/>
    <xf numFmtId="0" fontId="34" fillId="0" borderId="0"/>
    <xf numFmtId="0" fontId="14" fillId="0" borderId="0"/>
    <xf numFmtId="0" fontId="14" fillId="0" borderId="0"/>
    <xf numFmtId="0" fontId="12" fillId="0" borderId="0"/>
    <xf numFmtId="0" fontId="34" fillId="57" borderId="154" applyNumberFormat="0" applyFont="0" applyAlignment="0" applyProtection="0"/>
    <xf numFmtId="0" fontId="15" fillId="6" borderId="7" applyNumberFormat="0" applyFont="0" applyAlignment="0" applyProtection="0"/>
    <xf numFmtId="0" fontId="15" fillId="6" borderId="7" applyNumberFormat="0" applyFont="0" applyAlignment="0" applyProtection="0"/>
    <xf numFmtId="0" fontId="47" fillId="52" borderId="155" applyNumberFormat="0" applyAlignment="0" applyProtection="0"/>
    <xf numFmtId="0" fontId="23" fillId="22" borderId="8" applyNumberFormat="0" applyAlignment="0" applyProtection="0"/>
    <xf numFmtId="0" fontId="23" fillId="22" borderId="8" applyNumberFormat="0" applyAlignment="0" applyProtection="0"/>
    <xf numFmtId="10" fontId="14" fillId="0" borderId="0" applyFont="0" applyFill="0" applyBorder="0" applyAlignment="0" applyProtection="0"/>
    <xf numFmtId="9" fontId="34" fillId="0" borderId="0" applyFont="0" applyFill="0" applyBorder="0" applyAlignment="0" applyProtection="0"/>
    <xf numFmtId="10" fontId="12" fillId="0" borderId="0" applyFill="0" applyBorder="0" applyAlignment="0" applyProtection="0"/>
    <xf numFmtId="0" fontId="4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9" applyNumberFormat="0" applyFont="0" applyFill="0" applyAlignment="0" applyProtection="0"/>
    <xf numFmtId="0" fontId="49" fillId="0" borderId="156"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368">
    <xf numFmtId="0" fontId="0" fillId="0" borderId="0" xfId="0"/>
    <xf numFmtId="0" fontId="4" fillId="0" borderId="0" xfId="0" applyFont="1"/>
    <xf numFmtId="0" fontId="4" fillId="0" borderId="0" xfId="0" applyFont="1" applyAlignment="1">
      <alignment horizontal="right"/>
    </xf>
    <xf numFmtId="0" fontId="6" fillId="0" borderId="0" xfId="0" applyFont="1"/>
    <xf numFmtId="0" fontId="4" fillId="0" borderId="0" xfId="0" applyFont="1" applyBorder="1"/>
    <xf numFmtId="0" fontId="4" fillId="0" borderId="11" xfId="0" applyFont="1" applyBorder="1"/>
    <xf numFmtId="0" fontId="3" fillId="0" borderId="12" xfId="0" applyFont="1" applyBorder="1" applyAlignment="1">
      <alignment horizontal="centerContinuous"/>
    </xf>
    <xf numFmtId="0" fontId="3" fillId="0" borderId="13" xfId="0" applyFont="1" applyBorder="1" applyAlignment="1">
      <alignment horizontal="center"/>
    </xf>
    <xf numFmtId="0" fontId="4" fillId="0" borderId="13" xfId="0" applyFont="1" applyBorder="1"/>
    <xf numFmtId="0" fontId="3" fillId="0" borderId="14" xfId="0" applyFont="1" applyBorder="1" applyAlignment="1">
      <alignment horizontal="centerContinuous"/>
    </xf>
    <xf numFmtId="0" fontId="3" fillId="0" borderId="15" xfId="0" applyFont="1" applyBorder="1" applyAlignment="1">
      <alignment horizontal="center"/>
    </xf>
    <xf numFmtId="0" fontId="4" fillId="0" borderId="16" xfId="0" applyFont="1" applyBorder="1"/>
    <xf numFmtId="0" fontId="4" fillId="0" borderId="17" xfId="0" applyFont="1" applyBorder="1"/>
    <xf numFmtId="0" fontId="4" fillId="0" borderId="18" xfId="0" applyFont="1" applyBorder="1"/>
    <xf numFmtId="0" fontId="3" fillId="0" borderId="18" xfId="0" applyFont="1" applyBorder="1"/>
    <xf numFmtId="0" fontId="4" fillId="0" borderId="19" xfId="0" applyFont="1" applyBorder="1"/>
    <xf numFmtId="0" fontId="3" fillId="0" borderId="20" xfId="0" applyFont="1" applyBorder="1" applyAlignment="1">
      <alignment horizontal="center"/>
    </xf>
    <xf numFmtId="0" fontId="3" fillId="0" borderId="21" xfId="0" applyFont="1" applyBorder="1" applyAlignment="1">
      <alignment horizontal="center"/>
    </xf>
    <xf numFmtId="0" fontId="4" fillId="0" borderId="22" xfId="0" applyFont="1" applyBorder="1"/>
    <xf numFmtId="0" fontId="3" fillId="0" borderId="23" xfId="0" applyFont="1" applyBorder="1" applyAlignment="1">
      <alignment horizontal="centerContinuous"/>
    </xf>
    <xf numFmtId="0" fontId="3" fillId="0" borderId="24" xfId="0" applyFont="1" applyBorder="1" applyAlignment="1">
      <alignment horizontal="centerContinuous"/>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4" fillId="0" borderId="29" xfId="0" applyFont="1" applyBorder="1"/>
    <xf numFmtId="0" fontId="4" fillId="0" borderId="30" xfId="0" applyFont="1" applyBorder="1"/>
    <xf numFmtId="0" fontId="4" fillId="0" borderId="25" xfId="0" applyFont="1" applyBorder="1"/>
    <xf numFmtId="0" fontId="4" fillId="0" borderId="26" xfId="0" applyFont="1" applyBorder="1"/>
    <xf numFmtId="0" fontId="4" fillId="0" borderId="31" xfId="0" applyFont="1" applyBorder="1"/>
    <xf numFmtId="0" fontId="4" fillId="0" borderId="13" xfId="0" applyFont="1" applyBorder="1" applyAlignment="1">
      <alignment horizontal="right"/>
    </xf>
    <xf numFmtId="0" fontId="4" fillId="0" borderId="32" xfId="0" applyFont="1" applyBorder="1"/>
    <xf numFmtId="0" fontId="4" fillId="0" borderId="33" xfId="0" applyFont="1" applyBorder="1"/>
    <xf numFmtId="3" fontId="4" fillId="0" borderId="33" xfId="0" applyNumberFormat="1" applyFont="1" applyBorder="1"/>
    <xf numFmtId="0" fontId="4" fillId="0" borderId="0" xfId="0" applyFont="1" applyBorder="1" applyAlignment="1">
      <alignment horizontal="center"/>
    </xf>
    <xf numFmtId="0" fontId="8" fillId="0" borderId="0" xfId="0" applyFont="1" applyBorder="1" applyAlignment="1">
      <alignment horizontal="left"/>
    </xf>
    <xf numFmtId="0" fontId="4" fillId="0" borderId="34" xfId="0" applyFont="1" applyBorder="1"/>
    <xf numFmtId="164" fontId="4" fillId="0" borderId="33" xfId="0" applyNumberFormat="1" applyFont="1" applyBorder="1" applyAlignment="1">
      <alignment horizontal="right"/>
    </xf>
    <xf numFmtId="164" fontId="4" fillId="0" borderId="35" xfId="0" applyNumberFormat="1" applyFont="1" applyBorder="1" applyAlignment="1">
      <alignment horizontal="right"/>
    </xf>
    <xf numFmtId="164" fontId="4" fillId="0" borderId="36" xfId="0" applyNumberFormat="1" applyFont="1" applyBorder="1" applyAlignment="1">
      <alignment horizontal="right"/>
    </xf>
    <xf numFmtId="0" fontId="3" fillId="0" borderId="37" xfId="0" applyFont="1" applyBorder="1" applyAlignment="1">
      <alignment horizontal="center"/>
    </xf>
    <xf numFmtId="0" fontId="4" fillId="0" borderId="38" xfId="0" applyFont="1" applyBorder="1"/>
    <xf numFmtId="0" fontId="4" fillId="0" borderId="39" xfId="0" applyFont="1" applyBorder="1"/>
    <xf numFmtId="0" fontId="4" fillId="0" borderId="40" xfId="0" applyFont="1" applyBorder="1"/>
    <xf numFmtId="0" fontId="3" fillId="0" borderId="41" xfId="0" applyFont="1" applyBorder="1"/>
    <xf numFmtId="0" fontId="4" fillId="0" borderId="42" xfId="0" applyFont="1" applyBorder="1" applyAlignment="1">
      <alignment horizontal="right"/>
    </xf>
    <xf numFmtId="0" fontId="4" fillId="0" borderId="43" xfId="0" applyFont="1" applyBorder="1" applyAlignment="1">
      <alignment horizontal="right"/>
    </xf>
    <xf numFmtId="0" fontId="4" fillId="0" borderId="41" xfId="0" applyFont="1" applyBorder="1"/>
    <xf numFmtId="0" fontId="4" fillId="0" borderId="42" xfId="0" applyFont="1" applyBorder="1"/>
    <xf numFmtId="0" fontId="3" fillId="0" borderId="43" xfId="0" applyFont="1" applyBorder="1" applyAlignment="1">
      <alignment horizontal="center"/>
    </xf>
    <xf numFmtId="1" fontId="3" fillId="0" borderId="44" xfId="0" applyNumberFormat="1" applyFont="1" applyBorder="1" applyAlignment="1">
      <alignment horizontal="right"/>
    </xf>
    <xf numFmtId="164" fontId="4" fillId="0" borderId="44" xfId="0" applyNumberFormat="1" applyFont="1" applyBorder="1" applyAlignment="1">
      <alignment horizontal="center"/>
    </xf>
    <xf numFmtId="3" fontId="4" fillId="0" borderId="33" xfId="82" applyNumberFormat="1" applyFont="1" applyBorder="1" applyAlignment="1">
      <alignment horizontal="right"/>
    </xf>
    <xf numFmtId="3" fontId="4" fillId="0" borderId="13" xfId="82" applyNumberFormat="1" applyFont="1" applyBorder="1" applyAlignment="1">
      <alignment horizontal="right"/>
    </xf>
    <xf numFmtId="0" fontId="3" fillId="0" borderId="42" xfId="0" applyFont="1" applyBorder="1"/>
    <xf numFmtId="3" fontId="3" fillId="0" borderId="44" xfId="0" applyNumberFormat="1" applyFont="1" applyBorder="1" applyAlignment="1">
      <alignment horizontal="right"/>
    </xf>
    <xf numFmtId="3" fontId="3" fillId="0" borderId="36" xfId="0" applyNumberFormat="1" applyFont="1" applyBorder="1" applyAlignment="1">
      <alignment horizontal="right"/>
    </xf>
    <xf numFmtId="0" fontId="3" fillId="0" borderId="44" xfId="0" applyFont="1" applyBorder="1"/>
    <xf numFmtId="164" fontId="4" fillId="0" borderId="33" xfId="0" applyNumberFormat="1" applyFont="1" applyBorder="1"/>
    <xf numFmtId="164" fontId="4" fillId="0" borderId="35" xfId="0" applyNumberFormat="1" applyFont="1" applyBorder="1"/>
    <xf numFmtId="164" fontId="4" fillId="0" borderId="44" xfId="0" applyNumberFormat="1" applyFont="1" applyBorder="1"/>
    <xf numFmtId="164" fontId="4" fillId="0" borderId="32" xfId="0" applyNumberFormat="1" applyFont="1" applyBorder="1"/>
    <xf numFmtId="164" fontId="4" fillId="0" borderId="36" xfId="0" applyNumberFormat="1" applyFont="1" applyBorder="1"/>
    <xf numFmtId="0" fontId="3" fillId="0" borderId="36" xfId="0" applyFont="1" applyBorder="1"/>
    <xf numFmtId="0" fontId="9" fillId="0" borderId="0" xfId="0" applyFont="1" applyBorder="1" applyAlignment="1">
      <alignment horizontal="left"/>
    </xf>
    <xf numFmtId="0" fontId="4" fillId="0" borderId="0" xfId="0" applyFont="1" applyBorder="1" applyAlignment="1">
      <alignment horizontal="right"/>
    </xf>
    <xf numFmtId="3" fontId="4" fillId="0" borderId="0" xfId="82" applyNumberFormat="1" applyFont="1" applyBorder="1" applyAlignment="1">
      <alignment horizontal="right"/>
    </xf>
    <xf numFmtId="3" fontId="4" fillId="0" borderId="0" xfId="82" applyNumberFormat="1" applyFont="1" applyBorder="1" applyAlignment="1">
      <alignment horizontal="center"/>
    </xf>
    <xf numFmtId="0" fontId="4" fillId="0" borderId="25" xfId="0" applyFont="1" applyFill="1" applyBorder="1"/>
    <xf numFmtId="0" fontId="4" fillId="0" borderId="31" xfId="0" applyFont="1" applyFill="1" applyBorder="1"/>
    <xf numFmtId="0" fontId="3" fillId="0" borderId="0" xfId="0" applyFont="1" applyBorder="1"/>
    <xf numFmtId="164" fontId="4" fillId="0" borderId="0" xfId="0" applyNumberFormat="1" applyFont="1" applyBorder="1"/>
    <xf numFmtId="164" fontId="4" fillId="0" borderId="0" xfId="0" applyNumberFormat="1" applyFont="1" applyBorder="1" applyAlignment="1">
      <alignment horizontal="right"/>
    </xf>
    <xf numFmtId="164" fontId="4" fillId="0" borderId="0" xfId="0" applyNumberFormat="1" applyFont="1" applyBorder="1" applyAlignment="1">
      <alignment horizontal="center"/>
    </xf>
    <xf numFmtId="0" fontId="3" fillId="0" borderId="45" xfId="0" applyFont="1" applyBorder="1"/>
    <xf numFmtId="0" fontId="5" fillId="0" borderId="46" xfId="0" applyFont="1" applyBorder="1"/>
    <xf numFmtId="0" fontId="4" fillId="0" borderId="46" xfId="0" applyFont="1" applyBorder="1" applyAlignment="1">
      <alignment horizontal="right"/>
    </xf>
    <xf numFmtId="3" fontId="4" fillId="0" borderId="33" xfId="0" applyNumberFormat="1" applyFont="1" applyBorder="1" applyAlignment="1">
      <alignment horizontal="right"/>
    </xf>
    <xf numFmtId="0" fontId="4" fillId="0" borderId="47" xfId="0" applyFont="1" applyBorder="1" applyAlignment="1">
      <alignment horizontal="right"/>
    </xf>
    <xf numFmtId="0" fontId="3" fillId="0" borderId="36" xfId="0" applyFont="1" applyBorder="1" applyAlignment="1">
      <alignment horizontal="right"/>
    </xf>
    <xf numFmtId="0" fontId="3" fillId="0" borderId="11" xfId="0" applyFont="1" applyBorder="1"/>
    <xf numFmtId="164" fontId="4" fillId="0" borderId="33" xfId="0" applyNumberFormat="1" applyFont="1" applyBorder="1" applyAlignment="1">
      <alignment horizontal="center"/>
    </xf>
    <xf numFmtId="3" fontId="3" fillId="0" borderId="0" xfId="0" applyNumberFormat="1" applyFont="1" applyBorder="1"/>
    <xf numFmtId="0" fontId="3" fillId="0" borderId="9" xfId="0" applyFont="1" applyBorder="1" applyAlignment="1">
      <alignment horizontal="center"/>
    </xf>
    <xf numFmtId="0" fontId="3" fillId="0" borderId="9" xfId="0" applyFont="1" applyBorder="1"/>
    <xf numFmtId="3" fontId="3" fillId="0" borderId="9" xfId="0" applyNumberFormat="1" applyFont="1" applyBorder="1"/>
    <xf numFmtId="0" fontId="6" fillId="0" borderId="0" xfId="0" applyFont="1" applyBorder="1"/>
    <xf numFmtId="0" fontId="10" fillId="0" borderId="46" xfId="0" applyFont="1" applyBorder="1" applyAlignment="1">
      <alignment horizontal="left" indent="1"/>
    </xf>
    <xf numFmtId="0" fontId="4" fillId="0" borderId="46" xfId="0" applyFont="1" applyBorder="1" applyAlignment="1">
      <alignment horizontal="left" indent="1"/>
    </xf>
    <xf numFmtId="0" fontId="3" fillId="0" borderId="46" xfId="0" applyFont="1" applyBorder="1" applyAlignment="1">
      <alignment horizontal="left" indent="1"/>
    </xf>
    <xf numFmtId="0" fontId="3" fillId="0" borderId="33" xfId="0" applyFont="1" applyBorder="1"/>
    <xf numFmtId="0" fontId="3" fillId="0" borderId="48" xfId="0" applyFont="1" applyBorder="1" applyAlignment="1">
      <alignment horizontal="left" indent="1"/>
    </xf>
    <xf numFmtId="0" fontId="3" fillId="0" borderId="49" xfId="0" applyFont="1" applyBorder="1"/>
    <xf numFmtId="0" fontId="4" fillId="0" borderId="50" xfId="0" applyFont="1" applyBorder="1"/>
    <xf numFmtId="0" fontId="4" fillId="0" borderId="51" xfId="0" applyFont="1" applyBorder="1" applyAlignment="1">
      <alignment horizontal="right"/>
    </xf>
    <xf numFmtId="0" fontId="4" fillId="0" borderId="0" xfId="0" applyFont="1" applyFill="1"/>
    <xf numFmtId="0" fontId="4" fillId="0" borderId="42" xfId="0" applyFont="1" applyFill="1" applyBorder="1" applyAlignment="1">
      <alignment horizontal="right"/>
    </xf>
    <xf numFmtId="0" fontId="4" fillId="0" borderId="26" xfId="0" applyFont="1" applyFill="1" applyBorder="1"/>
    <xf numFmtId="0" fontId="4" fillId="0" borderId="15" xfId="0" applyFont="1" applyFill="1" applyBorder="1"/>
    <xf numFmtId="0" fontId="4" fillId="0" borderId="13" xfId="0" applyFont="1" applyFill="1" applyBorder="1"/>
    <xf numFmtId="0" fontId="4" fillId="0" borderId="13" xfId="0" applyFont="1" applyFill="1" applyBorder="1" applyAlignment="1">
      <alignment horizontal="right"/>
    </xf>
    <xf numFmtId="3" fontId="4" fillId="0" borderId="33" xfId="82" applyNumberFormat="1" applyFont="1" applyFill="1" applyBorder="1" applyAlignment="1">
      <alignment horizontal="right"/>
    </xf>
    <xf numFmtId="3" fontId="4" fillId="0" borderId="26" xfId="82" applyNumberFormat="1" applyFont="1" applyFill="1" applyBorder="1" applyAlignment="1">
      <alignment horizontal="right"/>
    </xf>
    <xf numFmtId="0" fontId="4" fillId="0" borderId="11" xfId="0" applyFont="1" applyBorder="1" applyAlignment="1">
      <alignment horizontal="left" wrapText="1" indent="1"/>
    </xf>
    <xf numFmtId="0" fontId="3" fillId="0" borderId="52" xfId="0" applyFont="1" applyBorder="1"/>
    <xf numFmtId="164" fontId="4" fillId="0" borderId="50" xfId="0" applyNumberFormat="1" applyFont="1" applyBorder="1"/>
    <xf numFmtId="164" fontId="4" fillId="0" borderId="50" xfId="0" applyNumberFormat="1" applyFont="1" applyBorder="1" applyAlignment="1">
      <alignment horizontal="right"/>
    </xf>
    <xf numFmtId="0" fontId="3" fillId="0" borderId="47" xfId="0" applyFont="1" applyBorder="1" applyAlignment="1">
      <alignment horizontal="left" indent="1"/>
    </xf>
    <xf numFmtId="0" fontId="4" fillId="0" borderId="53" xfId="0" applyFont="1" applyBorder="1" applyAlignment="1">
      <alignment horizontal="left" indent="1"/>
    </xf>
    <xf numFmtId="0" fontId="4" fillId="0" borderId="43" xfId="0" applyFont="1" applyFill="1" applyBorder="1" applyAlignment="1">
      <alignment horizontal="right"/>
    </xf>
    <xf numFmtId="0" fontId="4" fillId="0" borderId="54" xfId="0" applyFont="1" applyFill="1" applyBorder="1"/>
    <xf numFmtId="3" fontId="4" fillId="0" borderId="55" xfId="0" applyNumberFormat="1" applyFont="1" applyFill="1" applyBorder="1" applyAlignment="1">
      <alignment horizontal="right"/>
    </xf>
    <xf numFmtId="3" fontId="4" fillId="0" borderId="56" xfId="0" applyNumberFormat="1" applyFont="1" applyFill="1" applyBorder="1" applyAlignment="1">
      <alignment horizontal="right"/>
    </xf>
    <xf numFmtId="0" fontId="4" fillId="0" borderId="0" xfId="0" applyFont="1" applyBorder="1" applyAlignment="1">
      <alignment horizontal="left" indent="1"/>
    </xf>
    <xf numFmtId="0" fontId="3" fillId="0" borderId="11" xfId="0" applyFont="1" applyBorder="1" applyAlignment="1">
      <alignment horizontal="left"/>
    </xf>
    <xf numFmtId="0" fontId="3" fillId="0" borderId="44" xfId="0" applyFont="1" applyBorder="1" applyAlignment="1">
      <alignment horizontal="right"/>
    </xf>
    <xf numFmtId="0" fontId="4" fillId="0" borderId="11" xfId="0" applyFont="1" applyBorder="1" applyAlignment="1">
      <alignment horizontal="right"/>
    </xf>
    <xf numFmtId="0" fontId="4" fillId="0" borderId="34" xfId="0" applyFont="1" applyBorder="1" applyAlignment="1">
      <alignment horizontal="right"/>
    </xf>
    <xf numFmtId="0" fontId="4" fillId="0" borderId="57" xfId="0" applyFont="1" applyBorder="1" applyAlignment="1">
      <alignment horizontal="right"/>
    </xf>
    <xf numFmtId="3" fontId="4" fillId="0" borderId="15" xfId="82" applyNumberFormat="1" applyFont="1" applyFill="1" applyBorder="1"/>
    <xf numFmtId="0" fontId="4" fillId="0" borderId="58" xfId="0" applyFont="1" applyBorder="1" applyAlignment="1">
      <alignment horizontal="right"/>
    </xf>
    <xf numFmtId="0" fontId="4" fillId="0" borderId="51" xfId="0" applyFont="1" applyFill="1" applyBorder="1" applyAlignment="1">
      <alignment horizontal="right"/>
    </xf>
    <xf numFmtId="0" fontId="3" fillId="0" borderId="18" xfId="0" applyFont="1" applyBorder="1" applyAlignment="1">
      <alignment horizontal="left"/>
    </xf>
    <xf numFmtId="0" fontId="3" fillId="0" borderId="16" xfId="0" applyFont="1" applyBorder="1" applyAlignment="1">
      <alignment horizontal="center"/>
    </xf>
    <xf numFmtId="0" fontId="4" fillId="0" borderId="33" xfId="0" applyFont="1" applyFill="1" applyBorder="1" applyAlignment="1">
      <alignment horizontal="right"/>
    </xf>
    <xf numFmtId="0" fontId="4" fillId="0" borderId="35" xfId="0" applyFont="1" applyFill="1" applyBorder="1" applyAlignment="1">
      <alignment horizontal="right"/>
    </xf>
    <xf numFmtId="3" fontId="4" fillId="0" borderId="54" xfId="0" applyNumberFormat="1" applyFont="1" applyFill="1" applyBorder="1"/>
    <xf numFmtId="0" fontId="10" fillId="0" borderId="45" xfId="0" applyFont="1" applyBorder="1" applyAlignment="1">
      <alignment horizontal="left" indent="1"/>
    </xf>
    <xf numFmtId="0" fontId="3" fillId="0" borderId="22"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3" fontId="4" fillId="0" borderId="62" xfId="0" applyNumberFormat="1" applyFont="1" applyBorder="1"/>
    <xf numFmtId="0" fontId="3" fillId="0" borderId="63" xfId="0" applyFont="1" applyBorder="1"/>
    <xf numFmtId="3" fontId="3" fillId="0" borderId="64" xfId="0" applyNumberFormat="1" applyFont="1" applyBorder="1" applyAlignment="1">
      <alignment horizontal="right"/>
    </xf>
    <xf numFmtId="168" fontId="4" fillId="0" borderId="60" xfId="82" applyNumberFormat="1" applyFont="1" applyBorder="1"/>
    <xf numFmtId="168" fontId="4" fillId="0" borderId="62" xfId="82" applyNumberFormat="1" applyFont="1" applyBorder="1"/>
    <xf numFmtId="0" fontId="3" fillId="0" borderId="61" xfId="0" applyFont="1" applyBorder="1"/>
    <xf numFmtId="168" fontId="3" fillId="0" borderId="62" xfId="82" applyNumberFormat="1" applyFont="1" applyBorder="1"/>
    <xf numFmtId="0" fontId="4" fillId="0" borderId="65" xfId="0" applyFont="1" applyBorder="1"/>
    <xf numFmtId="0" fontId="4" fillId="0" borderId="66" xfId="0" applyFont="1" applyBorder="1"/>
    <xf numFmtId="164" fontId="4" fillId="0" borderId="61" xfId="0" applyNumberFormat="1" applyFont="1" applyBorder="1"/>
    <xf numFmtId="164" fontId="4" fillId="0" borderId="62" xfId="0" applyNumberFormat="1" applyFont="1" applyBorder="1" applyAlignment="1">
      <alignment horizontal="right"/>
    </xf>
    <xf numFmtId="164" fontId="4" fillId="0" borderId="67" xfId="0" applyNumberFormat="1" applyFont="1" applyBorder="1"/>
    <xf numFmtId="164" fontId="4" fillId="0" borderId="68" xfId="0" applyNumberFormat="1" applyFont="1" applyBorder="1" applyAlignment="1">
      <alignment horizontal="right"/>
    </xf>
    <xf numFmtId="164" fontId="4" fillId="0" borderId="69" xfId="0" applyNumberFormat="1" applyFont="1" applyBorder="1"/>
    <xf numFmtId="164" fontId="4" fillId="0" borderId="70" xfId="0" applyNumberFormat="1" applyFont="1" applyBorder="1" applyAlignment="1">
      <alignment horizontal="center"/>
    </xf>
    <xf numFmtId="164" fontId="4" fillId="0" borderId="71" xfId="0" applyNumberFormat="1" applyFont="1" applyBorder="1" applyAlignment="1">
      <alignment horizontal="center"/>
    </xf>
    <xf numFmtId="164" fontId="4" fillId="0" borderId="66" xfId="0" applyNumberFormat="1" applyFont="1" applyBorder="1" applyAlignment="1">
      <alignment horizontal="center"/>
    </xf>
    <xf numFmtId="164" fontId="4" fillId="0" borderId="65" xfId="0" applyNumberFormat="1" applyFont="1" applyBorder="1"/>
    <xf numFmtId="164" fontId="4" fillId="0" borderId="71" xfId="0" applyNumberFormat="1" applyFont="1" applyBorder="1"/>
    <xf numFmtId="164" fontId="4" fillId="0" borderId="59" xfId="0" applyNumberFormat="1" applyFont="1" applyBorder="1"/>
    <xf numFmtId="164" fontId="4" fillId="0" borderId="63" xfId="0" applyNumberFormat="1" applyFont="1" applyBorder="1"/>
    <xf numFmtId="168" fontId="4" fillId="0" borderId="32" xfId="82" applyNumberFormat="1" applyFont="1" applyBorder="1"/>
    <xf numFmtId="168" fontId="4" fillId="0" borderId="33" xfId="82" applyNumberFormat="1" applyFont="1" applyBorder="1"/>
    <xf numFmtId="168" fontId="3" fillId="0" borderId="33" xfId="82" applyNumberFormat="1" applyFont="1" applyBorder="1"/>
    <xf numFmtId="164" fontId="4" fillId="0" borderId="50" xfId="0" applyNumberFormat="1" applyFont="1" applyBorder="1" applyAlignment="1">
      <alignment horizontal="center"/>
    </xf>
    <xf numFmtId="0" fontId="4" fillId="0" borderId="33" xfId="0" applyNumberFormat="1" applyFont="1" applyBorder="1" applyAlignment="1">
      <alignment horizontal="right"/>
    </xf>
    <xf numFmtId="5" fontId="4" fillId="0" borderId="66" xfId="0" applyNumberFormat="1" applyFont="1" applyBorder="1" applyAlignment="1">
      <alignment horizontal="right"/>
    </xf>
    <xf numFmtId="5" fontId="4" fillId="0" borderId="72" xfId="0" applyNumberFormat="1" applyFont="1" applyBorder="1" applyAlignment="1">
      <alignment horizontal="right"/>
    </xf>
    <xf numFmtId="5" fontId="4" fillId="0" borderId="60" xfId="0" applyNumberFormat="1" applyFont="1" applyBorder="1" applyAlignment="1">
      <alignment horizontal="right"/>
    </xf>
    <xf numFmtId="5" fontId="4" fillId="0" borderId="64" xfId="0" applyNumberFormat="1" applyFont="1" applyBorder="1" applyAlignment="1">
      <alignment horizontal="right"/>
    </xf>
    <xf numFmtId="0" fontId="3" fillId="0" borderId="17" xfId="0" applyFont="1" applyBorder="1" applyAlignment="1">
      <alignment horizontal="center"/>
    </xf>
    <xf numFmtId="3" fontId="4" fillId="0" borderId="62" xfId="0" applyNumberFormat="1" applyFont="1" applyBorder="1" applyAlignment="1">
      <alignment horizontal="right"/>
    </xf>
    <xf numFmtId="0" fontId="3" fillId="0" borderId="63" xfId="0" applyFont="1" applyBorder="1" applyAlignment="1">
      <alignment horizontal="right"/>
    </xf>
    <xf numFmtId="0" fontId="3" fillId="0" borderId="59" xfId="0" applyFont="1" applyBorder="1" applyAlignment="1">
      <alignment horizontal="center"/>
    </xf>
    <xf numFmtId="0" fontId="3" fillId="0" borderId="60" xfId="0" applyFont="1" applyBorder="1" applyAlignment="1">
      <alignment horizontal="center"/>
    </xf>
    <xf numFmtId="0" fontId="4" fillId="0" borderId="61" xfId="0" applyFont="1" applyFill="1" applyBorder="1" applyAlignment="1">
      <alignment horizontal="right"/>
    </xf>
    <xf numFmtId="166" fontId="4" fillId="0" borderId="62" xfId="134" applyNumberFormat="1" applyFont="1" applyFill="1" applyBorder="1" applyAlignment="1">
      <alignment horizontal="right"/>
    </xf>
    <xf numFmtId="0" fontId="4" fillId="0" borderId="67" xfId="0" applyFont="1" applyFill="1" applyBorder="1" applyAlignment="1">
      <alignment horizontal="right"/>
    </xf>
    <xf numFmtId="166" fontId="3" fillId="0" borderId="61" xfId="0" applyNumberFormat="1" applyFont="1" applyFill="1" applyBorder="1" applyAlignment="1">
      <alignment horizontal="right"/>
    </xf>
    <xf numFmtId="0" fontId="4" fillId="0" borderId="61" xfId="0" applyFont="1" applyBorder="1" applyAlignment="1">
      <alignment horizontal="right"/>
    </xf>
    <xf numFmtId="3" fontId="3" fillId="0" borderId="61" xfId="0" applyNumberFormat="1" applyFont="1" applyBorder="1" applyAlignment="1">
      <alignment horizontal="right"/>
    </xf>
    <xf numFmtId="0" fontId="4" fillId="0" borderId="63" xfId="0" applyFont="1" applyBorder="1" applyAlignment="1">
      <alignment horizontal="right"/>
    </xf>
    <xf numFmtId="166" fontId="4" fillId="0" borderId="64" xfId="134" applyNumberFormat="1" applyFont="1" applyFill="1" applyBorder="1" applyAlignment="1">
      <alignment horizontal="right"/>
    </xf>
    <xf numFmtId="166" fontId="4" fillId="0" borderId="13" xfId="134" applyNumberFormat="1" applyFont="1" applyFill="1" applyBorder="1" applyAlignment="1">
      <alignment horizontal="right"/>
    </xf>
    <xf numFmtId="166" fontId="4" fillId="0" borderId="73" xfId="134" applyNumberFormat="1" applyFont="1" applyFill="1" applyBorder="1" applyAlignment="1">
      <alignment horizontal="right"/>
    </xf>
    <xf numFmtId="3" fontId="4" fillId="0" borderId="15" xfId="82" applyNumberFormat="1" applyFont="1" applyBorder="1" applyAlignment="1">
      <alignment horizontal="right"/>
    </xf>
    <xf numFmtId="3" fontId="4" fillId="0" borderId="61" xfId="82" applyNumberFormat="1" applyFont="1" applyBorder="1" applyAlignment="1">
      <alignment horizontal="right"/>
    </xf>
    <xf numFmtId="0" fontId="3" fillId="0" borderId="15" xfId="0" applyFont="1" applyFill="1" applyBorder="1" applyAlignment="1">
      <alignment horizontal="right"/>
    </xf>
    <xf numFmtId="166" fontId="4" fillId="0" borderId="15" xfId="0" applyNumberFormat="1" applyFont="1" applyBorder="1" applyAlignment="1">
      <alignment horizontal="right"/>
    </xf>
    <xf numFmtId="3" fontId="4" fillId="0" borderId="74" xfId="82" applyNumberFormat="1" applyFont="1" applyBorder="1" applyAlignment="1">
      <alignment horizontal="right"/>
    </xf>
    <xf numFmtId="3" fontId="4" fillId="0" borderId="61" xfId="82" applyNumberFormat="1" applyFont="1" applyFill="1" applyBorder="1" applyAlignment="1">
      <alignment horizontal="right"/>
    </xf>
    <xf numFmtId="3" fontId="4" fillId="0" borderId="61" xfId="0" applyNumberFormat="1" applyFont="1" applyBorder="1"/>
    <xf numFmtId="164" fontId="4" fillId="0" borderId="61" xfId="0" applyNumberFormat="1" applyFont="1" applyBorder="1" applyAlignment="1">
      <alignment horizontal="right"/>
    </xf>
    <xf numFmtId="164" fontId="4" fillId="0" borderId="67" xfId="0" applyNumberFormat="1" applyFont="1" applyBorder="1" applyAlignment="1">
      <alignment horizontal="right"/>
    </xf>
    <xf numFmtId="168" fontId="4" fillId="0" borderId="61" xfId="82" applyNumberFormat="1" applyFont="1" applyBorder="1"/>
    <xf numFmtId="0" fontId="3" fillId="0" borderId="69" xfId="0" applyFont="1" applyBorder="1" applyAlignment="1">
      <alignment horizontal="right"/>
    </xf>
    <xf numFmtId="3" fontId="3" fillId="0" borderId="70" xfId="0" applyNumberFormat="1" applyFont="1" applyBorder="1" applyAlignment="1">
      <alignment horizontal="right"/>
    </xf>
    <xf numFmtId="1" fontId="3" fillId="0" borderId="64" xfId="0" applyNumberFormat="1" applyFont="1" applyBorder="1" applyAlignment="1">
      <alignment horizontal="right"/>
    </xf>
    <xf numFmtId="0" fontId="4" fillId="0" borderId="74" xfId="0" applyFont="1" applyFill="1" applyBorder="1" applyAlignment="1">
      <alignment horizontal="right"/>
    </xf>
    <xf numFmtId="0" fontId="4" fillId="0" borderId="0" xfId="0" applyFont="1" applyFill="1" applyBorder="1" applyAlignment="1">
      <alignment horizontal="right"/>
    </xf>
    <xf numFmtId="0" fontId="4" fillId="0" borderId="30" xfId="0" applyFont="1" applyFill="1" applyBorder="1"/>
    <xf numFmtId="0" fontId="4" fillId="0" borderId="29" xfId="0" applyFont="1" applyFill="1" applyBorder="1"/>
    <xf numFmtId="0" fontId="4" fillId="0" borderId="16" xfId="0" applyFont="1" applyFill="1" applyBorder="1"/>
    <xf numFmtId="3" fontId="4" fillId="0" borderId="30" xfId="82" applyNumberFormat="1" applyFont="1" applyFill="1" applyBorder="1" applyAlignment="1">
      <alignment horizontal="right"/>
    </xf>
    <xf numFmtId="0" fontId="4" fillId="0" borderId="75" xfId="0" applyFont="1" applyFill="1" applyBorder="1" applyAlignment="1">
      <alignment horizontal="right"/>
    </xf>
    <xf numFmtId="0" fontId="4" fillId="0" borderId="76" xfId="0" applyFont="1" applyFill="1" applyBorder="1" applyAlignment="1">
      <alignment horizontal="right"/>
    </xf>
    <xf numFmtId="0" fontId="0" fillId="0" borderId="0" xfId="0" applyFill="1"/>
    <xf numFmtId="0" fontId="4" fillId="0" borderId="0" xfId="0" applyFont="1" applyFill="1" applyBorder="1" applyAlignment="1">
      <alignment horizontal="center"/>
    </xf>
    <xf numFmtId="3" fontId="4" fillId="0" borderId="0" xfId="82" applyNumberFormat="1" applyFont="1" applyFill="1" applyBorder="1" applyAlignment="1">
      <alignment horizontal="right"/>
    </xf>
    <xf numFmtId="0" fontId="4" fillId="0" borderId="0" xfId="0" applyFont="1" applyFill="1" applyBorder="1"/>
    <xf numFmtId="3" fontId="4" fillId="0" borderId="0" xfId="82" applyNumberFormat="1" applyFont="1" applyFill="1" applyBorder="1" applyAlignment="1">
      <alignment horizontal="center"/>
    </xf>
    <xf numFmtId="3" fontId="4" fillId="0" borderId="56" xfId="82" applyNumberFormat="1" applyFont="1" applyFill="1" applyBorder="1" applyAlignment="1">
      <alignment horizontal="right"/>
    </xf>
    <xf numFmtId="3" fontId="4" fillId="0" borderId="26" xfId="0" applyNumberFormat="1" applyFont="1" applyFill="1" applyBorder="1" applyAlignment="1">
      <alignment horizontal="right"/>
    </xf>
    <xf numFmtId="0" fontId="4" fillId="0" borderId="77" xfId="0" applyFont="1" applyFill="1" applyBorder="1"/>
    <xf numFmtId="3" fontId="4" fillId="0" borderId="26" xfId="0" applyNumberFormat="1" applyFont="1" applyFill="1" applyBorder="1" applyAlignment="1">
      <alignment horizontal="center"/>
    </xf>
    <xf numFmtId="3" fontId="4" fillId="0" borderId="33" xfId="0" applyNumberFormat="1" applyFont="1" applyFill="1" applyBorder="1" applyAlignment="1">
      <alignment horizontal="right"/>
    </xf>
    <xf numFmtId="0" fontId="4" fillId="0" borderId="61" xfId="0" applyFont="1" applyFill="1" applyBorder="1"/>
    <xf numFmtId="3" fontId="4" fillId="0" borderId="62" xfId="0" applyNumberFormat="1" applyFont="1" applyFill="1" applyBorder="1" applyAlignment="1">
      <alignment horizontal="right"/>
    </xf>
    <xf numFmtId="3" fontId="4" fillId="0" borderId="33" xfId="0" applyNumberFormat="1" applyFont="1" applyFill="1" applyBorder="1"/>
    <xf numFmtId="3" fontId="4" fillId="0" borderId="62" xfId="0" applyNumberFormat="1" applyFont="1" applyFill="1" applyBorder="1"/>
    <xf numFmtId="0" fontId="3" fillId="0" borderId="63" xfId="0" applyFont="1" applyFill="1" applyBorder="1"/>
    <xf numFmtId="3" fontId="4" fillId="24" borderId="26" xfId="82" applyNumberFormat="1" applyFont="1" applyFill="1" applyBorder="1" applyAlignment="1">
      <alignment horizontal="right"/>
    </xf>
    <xf numFmtId="0" fontId="6" fillId="0" borderId="0" xfId="0" applyFont="1" applyFill="1"/>
    <xf numFmtId="0" fontId="4" fillId="0" borderId="36" xfId="0" applyFont="1" applyFill="1" applyBorder="1"/>
    <xf numFmtId="3" fontId="4" fillId="0" borderId="13" xfId="82" applyNumberFormat="1" applyFont="1" applyBorder="1"/>
    <xf numFmtId="0" fontId="4" fillId="0" borderId="50" xfId="0" applyFont="1" applyBorder="1" applyAlignment="1">
      <alignment horizontal="center"/>
    </xf>
    <xf numFmtId="5" fontId="4" fillId="0" borderId="32" xfId="0" applyNumberFormat="1" applyFont="1" applyBorder="1" applyAlignment="1">
      <alignment horizontal="right"/>
    </xf>
    <xf numFmtId="164" fontId="4" fillId="0" borderId="36" xfId="86" applyNumberFormat="1" applyFont="1" applyBorder="1" applyAlignment="1">
      <alignment horizontal="right"/>
    </xf>
    <xf numFmtId="166" fontId="3" fillId="0" borderId="13" xfId="134" applyNumberFormat="1" applyFont="1" applyFill="1" applyBorder="1" applyAlignment="1">
      <alignment horizontal="right"/>
    </xf>
    <xf numFmtId="166" fontId="4" fillId="0" borderId="13" xfId="134" applyNumberFormat="1" applyFont="1" applyBorder="1" applyAlignment="1">
      <alignment horizontal="right"/>
    </xf>
    <xf numFmtId="166" fontId="4" fillId="0" borderId="73" xfId="134" applyNumberFormat="1" applyFont="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xf>
    <xf numFmtId="0" fontId="3" fillId="0" borderId="23" xfId="0" applyFont="1" applyFill="1" applyBorder="1" applyAlignment="1">
      <alignment horizontal="centerContinuous"/>
    </xf>
    <xf numFmtId="0" fontId="3" fillId="0" borderId="25" xfId="0" applyFont="1" applyFill="1" applyBorder="1" applyAlignment="1">
      <alignment horizontal="center"/>
    </xf>
    <xf numFmtId="0" fontId="3" fillId="0" borderId="27" xfId="0" applyFont="1" applyFill="1" applyBorder="1" applyAlignment="1">
      <alignment horizontal="center"/>
    </xf>
    <xf numFmtId="0" fontId="4" fillId="0" borderId="59" xfId="0" applyFont="1" applyFill="1" applyBorder="1"/>
    <xf numFmtId="0" fontId="3" fillId="0" borderId="61" xfId="0" applyFont="1" applyFill="1" applyBorder="1"/>
    <xf numFmtId="0" fontId="4" fillId="0" borderId="65" xfId="0" applyFont="1" applyFill="1" applyBorder="1"/>
    <xf numFmtId="164" fontId="4" fillId="0" borderId="61" xfId="0" applyNumberFormat="1" applyFont="1" applyFill="1" applyBorder="1"/>
    <xf numFmtId="164" fontId="4" fillId="0" borderId="67" xfId="0" applyNumberFormat="1" applyFont="1" applyFill="1" applyBorder="1"/>
    <xf numFmtId="164" fontId="4" fillId="0" borderId="69" xfId="0" applyNumberFormat="1" applyFont="1" applyFill="1" applyBorder="1"/>
    <xf numFmtId="0" fontId="3" fillId="0" borderId="9" xfId="0" applyFont="1" applyFill="1" applyBorder="1"/>
    <xf numFmtId="3" fontId="3" fillId="0" borderId="9" xfId="0" applyNumberFormat="1" applyFont="1" applyFill="1" applyBorder="1"/>
    <xf numFmtId="164" fontId="4" fillId="0" borderId="78" xfId="0" applyNumberFormat="1" applyFont="1" applyFill="1" applyBorder="1" applyAlignment="1">
      <alignment horizontal="center"/>
    </xf>
    <xf numFmtId="3" fontId="4" fillId="0" borderId="79" xfId="0" applyNumberFormat="1" applyFont="1" applyFill="1" applyBorder="1"/>
    <xf numFmtId="0" fontId="4" fillId="0" borderId="63" xfId="0" applyFont="1" applyFill="1" applyBorder="1"/>
    <xf numFmtId="0" fontId="7" fillId="0" borderId="0" xfId="0" applyFont="1" applyAlignment="1">
      <alignment horizontal="center"/>
    </xf>
    <xf numFmtId="0" fontId="4" fillId="25" borderId="59" xfId="0" applyFont="1" applyFill="1" applyBorder="1"/>
    <xf numFmtId="0" fontId="4" fillId="25" borderId="61" xfId="0" applyFont="1" applyFill="1" applyBorder="1"/>
    <xf numFmtId="0" fontId="3" fillId="25" borderId="63" xfId="0" applyFont="1" applyFill="1" applyBorder="1" applyAlignment="1">
      <alignment horizontal="right"/>
    </xf>
    <xf numFmtId="5" fontId="4" fillId="0" borderId="62" xfId="0" applyNumberFormat="1" applyFont="1" applyBorder="1" applyAlignment="1">
      <alignment horizontal="right"/>
    </xf>
    <xf numFmtId="5" fontId="4" fillId="0" borderId="33" xfId="0" applyNumberFormat="1" applyFont="1" applyBorder="1" applyAlignment="1">
      <alignment horizontal="right"/>
    </xf>
    <xf numFmtId="0" fontId="3" fillId="25" borderId="63" xfId="0" applyFont="1" applyFill="1" applyBorder="1"/>
    <xf numFmtId="164" fontId="4" fillId="0" borderId="35" xfId="0" applyNumberFormat="1" applyFont="1" applyBorder="1" applyAlignment="1">
      <alignment horizontal="center"/>
    </xf>
    <xf numFmtId="0" fontId="3" fillId="0" borderId="29" xfId="0" applyFont="1" applyFill="1" applyBorder="1" applyAlignment="1">
      <alignment horizontal="center"/>
    </xf>
    <xf numFmtId="0" fontId="3" fillId="0" borderId="25" xfId="0" applyFont="1" applyFill="1" applyBorder="1" applyAlignment="1">
      <alignment horizontal="right"/>
    </xf>
    <xf numFmtId="3" fontId="4" fillId="0" borderId="25" xfId="82" applyNumberFormat="1" applyFont="1" applyFill="1" applyBorder="1" applyAlignment="1">
      <alignment horizontal="right"/>
    </xf>
    <xf numFmtId="166" fontId="4" fillId="0" borderId="25" xfId="0" applyNumberFormat="1" applyFont="1" applyFill="1" applyBorder="1" applyAlignment="1">
      <alignment horizontal="right"/>
    </xf>
    <xf numFmtId="3" fontId="4" fillId="0" borderId="31" xfId="82" applyNumberFormat="1" applyFont="1" applyFill="1" applyBorder="1" applyAlignment="1">
      <alignment horizontal="right"/>
    </xf>
    <xf numFmtId="164" fontId="4" fillId="0" borderId="71" xfId="0" applyNumberFormat="1" applyFont="1" applyFill="1" applyBorder="1" applyAlignment="1">
      <alignment horizontal="center"/>
    </xf>
    <xf numFmtId="164" fontId="4" fillId="0" borderId="65" xfId="0" applyNumberFormat="1" applyFont="1" applyFill="1" applyBorder="1"/>
    <xf numFmtId="164" fontId="4" fillId="0" borderId="71" xfId="0" applyNumberFormat="1" applyFont="1" applyFill="1" applyBorder="1"/>
    <xf numFmtId="164" fontId="4" fillId="0" borderId="59" xfId="0" applyNumberFormat="1" applyFont="1" applyFill="1" applyBorder="1"/>
    <xf numFmtId="164" fontId="4" fillId="0" borderId="63" xfId="0" applyNumberFormat="1" applyFont="1" applyFill="1" applyBorder="1"/>
    <xf numFmtId="0" fontId="3" fillId="25" borderId="69" xfId="0" applyFont="1" applyFill="1" applyBorder="1" applyAlignment="1">
      <alignment horizontal="right"/>
    </xf>
    <xf numFmtId="168" fontId="4" fillId="0" borderId="33" xfId="82" applyNumberFormat="1" applyFont="1" applyFill="1" applyBorder="1"/>
    <xf numFmtId="0" fontId="3" fillId="0" borderId="63" xfId="0" applyFont="1" applyFill="1" applyBorder="1" applyAlignment="1">
      <alignment horizontal="right"/>
    </xf>
    <xf numFmtId="0" fontId="4" fillId="0" borderId="17" xfId="0" applyFont="1" applyFill="1" applyBorder="1"/>
    <xf numFmtId="3" fontId="4" fillId="0" borderId="13" xfId="82" applyNumberFormat="1" applyFont="1" applyFill="1" applyBorder="1" applyAlignment="1">
      <alignment horizontal="right"/>
    </xf>
    <xf numFmtId="3" fontId="4" fillId="0" borderId="17" xfId="82" applyNumberFormat="1" applyFont="1" applyFill="1" applyBorder="1" applyAlignment="1">
      <alignment horizontal="right"/>
    </xf>
    <xf numFmtId="0" fontId="4" fillId="0" borderId="31" xfId="0" applyFont="1" applyFill="1" applyBorder="1" applyAlignment="1">
      <alignment horizontal="right"/>
    </xf>
    <xf numFmtId="0" fontId="4" fillId="0" borderId="26" xfId="0" applyNumberFormat="1" applyFont="1" applyBorder="1"/>
    <xf numFmtId="164" fontId="4" fillId="0" borderId="26" xfId="0" applyNumberFormat="1" applyFont="1" applyBorder="1" applyAlignment="1">
      <alignment horizontal="right"/>
    </xf>
    <xf numFmtId="0" fontId="4" fillId="0" borderId="26" xfId="0" applyNumberFormat="1" applyFont="1" applyBorder="1" applyAlignment="1">
      <alignment horizontal="right"/>
    </xf>
    <xf numFmtId="5" fontId="4" fillId="0" borderId="26" xfId="0" applyNumberFormat="1" applyFont="1" applyBorder="1" applyAlignment="1">
      <alignment horizontal="right"/>
    </xf>
    <xf numFmtId="164" fontId="4" fillId="0" borderId="30" xfId="0" applyNumberFormat="1" applyFont="1" applyBorder="1" applyAlignment="1">
      <alignment horizontal="center"/>
    </xf>
    <xf numFmtId="164" fontId="4" fillId="0" borderId="16" xfId="0" applyNumberFormat="1" applyFont="1" applyBorder="1" applyAlignment="1">
      <alignment horizontal="center"/>
    </xf>
    <xf numFmtId="0" fontId="8" fillId="0" borderId="20" xfId="0" applyFont="1" applyBorder="1"/>
    <xf numFmtId="0" fontId="4" fillId="0" borderId="80" xfId="0" applyFont="1" applyBorder="1"/>
    <xf numFmtId="170" fontId="4" fillId="0" borderId="26" xfId="0" applyNumberFormat="1" applyFont="1" applyBorder="1"/>
    <xf numFmtId="164" fontId="4" fillId="0" borderId="26" xfId="86" applyNumberFormat="1" applyFont="1" applyBorder="1" applyAlignment="1">
      <alignment horizontal="right"/>
    </xf>
    <xf numFmtId="164" fontId="4" fillId="0" borderId="33" xfId="0" applyNumberFormat="1" applyFont="1" applyFill="1" applyBorder="1" applyAlignment="1">
      <alignment horizontal="center"/>
    </xf>
    <xf numFmtId="164" fontId="4" fillId="0" borderId="35" xfId="0" applyNumberFormat="1" applyFont="1" applyFill="1" applyBorder="1" applyAlignment="1">
      <alignment horizontal="center"/>
    </xf>
    <xf numFmtId="164" fontId="4" fillId="0" borderId="33" xfId="0" applyNumberFormat="1" applyFont="1" applyFill="1" applyBorder="1" applyAlignment="1">
      <alignment horizontal="right"/>
    </xf>
    <xf numFmtId="0" fontId="4" fillId="0" borderId="25" xfId="0" applyFont="1" applyFill="1" applyBorder="1" applyAlignment="1">
      <alignment horizontal="right"/>
    </xf>
    <xf numFmtId="0" fontId="4" fillId="0" borderId="54" xfId="0" applyFont="1" applyFill="1" applyBorder="1" applyAlignment="1">
      <alignment horizontal="right"/>
    </xf>
    <xf numFmtId="0" fontId="4" fillId="0" borderId="81" xfId="0" applyFont="1" applyFill="1" applyBorder="1" applyAlignment="1">
      <alignment horizontal="right"/>
    </xf>
    <xf numFmtId="0" fontId="3" fillId="0" borderId="0" xfId="0" applyFont="1" applyBorder="1" applyAlignment="1">
      <alignment horizontal="center"/>
    </xf>
    <xf numFmtId="0" fontId="3" fillId="0" borderId="0" xfId="0" applyFont="1" applyFill="1" applyBorder="1"/>
    <xf numFmtId="3" fontId="3" fillId="0" borderId="0" xfId="0" applyNumberFormat="1" applyFont="1" applyFill="1" applyBorder="1"/>
    <xf numFmtId="0" fontId="4" fillId="0" borderId="33" xfId="0" applyFont="1" applyFill="1" applyBorder="1"/>
    <xf numFmtId="0" fontId="5" fillId="0" borderId="42" xfId="0" applyFont="1" applyFill="1" applyBorder="1"/>
    <xf numFmtId="0" fontId="5" fillId="0" borderId="41" xfId="0" applyFont="1" applyFill="1" applyBorder="1" applyAlignment="1">
      <alignment horizontal="left"/>
    </xf>
    <xf numFmtId="0" fontId="5" fillId="0" borderId="42" xfId="0" applyFont="1" applyFill="1" applyBorder="1" applyAlignment="1">
      <alignment horizontal="left"/>
    </xf>
    <xf numFmtId="0" fontId="5" fillId="0" borderId="51" xfId="0" applyFont="1" applyFill="1" applyBorder="1" applyAlignment="1">
      <alignment horizontal="left"/>
    </xf>
    <xf numFmtId="0" fontId="3" fillId="0" borderId="69" xfId="0" applyFont="1" applyFill="1" applyBorder="1" applyAlignment="1">
      <alignment horizontal="right"/>
    </xf>
    <xf numFmtId="0" fontId="4" fillId="0" borderId="9" xfId="0" applyFont="1" applyFill="1" applyBorder="1"/>
    <xf numFmtId="0" fontId="4" fillId="0" borderId="9" xfId="0" applyFont="1" applyFill="1" applyBorder="1" applyAlignment="1">
      <alignment horizontal="center"/>
    </xf>
    <xf numFmtId="3" fontId="4" fillId="0" borderId="61" xfId="0" applyNumberFormat="1" applyFont="1" applyFill="1" applyBorder="1"/>
    <xf numFmtId="168" fontId="4" fillId="0" borderId="61" xfId="82" applyNumberFormat="1" applyFont="1" applyFill="1" applyBorder="1"/>
    <xf numFmtId="164" fontId="4" fillId="0" borderId="67" xfId="0" applyNumberFormat="1" applyFont="1" applyFill="1" applyBorder="1" applyAlignment="1">
      <alignment horizontal="right"/>
    </xf>
    <xf numFmtId="164" fontId="4" fillId="0" borderId="44" xfId="0" applyNumberFormat="1" applyFont="1" applyFill="1" applyBorder="1"/>
    <xf numFmtId="164" fontId="4" fillId="0" borderId="16" xfId="0" applyNumberFormat="1" applyFont="1" applyFill="1" applyBorder="1" applyAlignment="1">
      <alignment horizontal="center"/>
    </xf>
    <xf numFmtId="3" fontId="4" fillId="0" borderId="61" xfId="0" applyNumberFormat="1" applyFont="1" applyFill="1" applyBorder="1" applyAlignment="1">
      <alignment horizontal="right"/>
    </xf>
    <xf numFmtId="0" fontId="3" fillId="0" borderId="65" xfId="0" applyFont="1" applyFill="1" applyBorder="1" applyAlignment="1">
      <alignment horizontal="center"/>
    </xf>
    <xf numFmtId="0" fontId="3" fillId="0" borderId="15" xfId="0" applyFont="1" applyFill="1" applyBorder="1" applyAlignment="1">
      <alignment horizontal="center"/>
    </xf>
    <xf numFmtId="0" fontId="3" fillId="0" borderId="20" xfId="0" applyFont="1" applyFill="1" applyBorder="1" applyAlignment="1">
      <alignment horizontal="center"/>
    </xf>
    <xf numFmtId="0" fontId="4" fillId="0" borderId="32" xfId="0" applyFont="1" applyFill="1" applyBorder="1"/>
    <xf numFmtId="0" fontId="3" fillId="0" borderId="36" xfId="0" applyFont="1" applyFill="1" applyBorder="1"/>
    <xf numFmtId="0" fontId="4" fillId="25" borderId="60" xfId="0" applyFont="1" applyFill="1" applyBorder="1"/>
    <xf numFmtId="0" fontId="4" fillId="25" borderId="62" xfId="0" applyFont="1" applyFill="1" applyBorder="1"/>
    <xf numFmtId="3" fontId="4" fillId="0" borderId="62" xfId="82" applyNumberFormat="1" applyFont="1" applyFill="1" applyBorder="1" applyAlignment="1">
      <alignment horizontal="right"/>
    </xf>
    <xf numFmtId="3" fontId="3" fillId="0" borderId="64" xfId="0" applyNumberFormat="1" applyFont="1" applyFill="1" applyBorder="1" applyAlignment="1">
      <alignment horizontal="right"/>
    </xf>
    <xf numFmtId="0" fontId="3" fillId="0" borderId="33" xfId="0" applyFont="1" applyFill="1" applyBorder="1"/>
    <xf numFmtId="0" fontId="4" fillId="0" borderId="50" xfId="0" applyFont="1" applyFill="1" applyBorder="1"/>
    <xf numFmtId="164" fontId="4" fillId="0" borderId="33" xfId="0" applyNumberFormat="1" applyFont="1" applyFill="1" applyBorder="1"/>
    <xf numFmtId="164" fontId="4" fillId="0" borderId="35" xfId="0" applyNumberFormat="1" applyFont="1" applyFill="1" applyBorder="1"/>
    <xf numFmtId="164" fontId="4" fillId="0" borderId="50" xfId="0" applyNumberFormat="1" applyFont="1" applyFill="1" applyBorder="1"/>
    <xf numFmtId="164" fontId="4" fillId="0" borderId="36" xfId="0" applyNumberFormat="1" applyFont="1" applyFill="1" applyBorder="1"/>
    <xf numFmtId="0" fontId="4" fillId="0" borderId="62" xfId="0" applyFont="1" applyFill="1" applyBorder="1"/>
    <xf numFmtId="168" fontId="4" fillId="0" borderId="60" xfId="82" applyNumberFormat="1" applyFont="1" applyFill="1" applyBorder="1"/>
    <xf numFmtId="168" fontId="4" fillId="0" borderId="62" xfId="82" applyNumberFormat="1" applyFont="1" applyFill="1" applyBorder="1"/>
    <xf numFmtId="0" fontId="4" fillId="0" borderId="66" xfId="0" applyFont="1" applyFill="1" applyBorder="1"/>
    <xf numFmtId="164" fontId="4" fillId="0" borderId="70" xfId="0" applyNumberFormat="1" applyFont="1" applyFill="1" applyBorder="1" applyAlignment="1">
      <alignment horizontal="center"/>
    </xf>
    <xf numFmtId="164" fontId="4" fillId="0" borderId="66" xfId="0" applyNumberFormat="1" applyFont="1" applyFill="1" applyBorder="1" applyAlignment="1">
      <alignment horizontal="center"/>
    </xf>
    <xf numFmtId="0" fontId="4" fillId="0" borderId="66" xfId="0" applyFont="1" applyFill="1" applyBorder="1" applyAlignment="1">
      <alignment horizontal="center"/>
    </xf>
    <xf numFmtId="0" fontId="4" fillId="0" borderId="72" xfId="0" applyFont="1" applyFill="1" applyBorder="1" applyAlignment="1">
      <alignment horizontal="center"/>
    </xf>
    <xf numFmtId="0" fontId="3" fillId="0" borderId="44" xfId="0" applyFont="1" applyFill="1" applyBorder="1" applyAlignment="1">
      <alignment horizontal="right"/>
    </xf>
    <xf numFmtId="0" fontId="3" fillId="0" borderId="16" xfId="0" applyFont="1" applyFill="1" applyBorder="1" applyAlignment="1">
      <alignment horizontal="center"/>
    </xf>
    <xf numFmtId="3" fontId="4" fillId="0" borderId="15" xfId="82" applyNumberFormat="1" applyFont="1" applyFill="1" applyBorder="1" applyAlignment="1">
      <alignment horizontal="right"/>
    </xf>
    <xf numFmtId="166" fontId="4" fillId="0" borderId="15" xfId="0" applyNumberFormat="1" applyFont="1" applyFill="1" applyBorder="1" applyAlignment="1">
      <alignment horizontal="right"/>
    </xf>
    <xf numFmtId="3" fontId="4" fillId="0" borderId="74" xfId="82" applyNumberFormat="1" applyFont="1" applyFill="1" applyBorder="1" applyAlignment="1">
      <alignment horizontal="right"/>
    </xf>
    <xf numFmtId="0" fontId="4" fillId="0" borderId="60" xfId="0" applyFont="1" applyFill="1" applyBorder="1"/>
    <xf numFmtId="3" fontId="3" fillId="0" borderId="70" xfId="0" applyNumberFormat="1" applyFont="1" applyFill="1" applyBorder="1" applyAlignment="1">
      <alignment horizontal="right"/>
    </xf>
    <xf numFmtId="0" fontId="3" fillId="0" borderId="30" xfId="0" applyFont="1" applyFill="1" applyBorder="1" applyAlignment="1">
      <alignment horizontal="center"/>
    </xf>
    <xf numFmtId="166" fontId="4" fillId="0" borderId="26" xfId="134" applyNumberFormat="1" applyFont="1" applyFill="1" applyBorder="1" applyAlignment="1">
      <alignment horizontal="right"/>
    </xf>
    <xf numFmtId="166" fontId="3" fillId="0" borderId="26" xfId="134" applyNumberFormat="1" applyFont="1" applyFill="1" applyBorder="1" applyAlignment="1">
      <alignment horizontal="right"/>
    </xf>
    <xf numFmtId="166" fontId="4" fillId="0" borderId="26" xfId="134" applyNumberFormat="1" applyFont="1" applyBorder="1" applyAlignment="1">
      <alignment horizontal="right"/>
    </xf>
    <xf numFmtId="166" fontId="4" fillId="0" borderId="56" xfId="134" applyNumberFormat="1" applyFont="1" applyBorder="1" applyAlignment="1">
      <alignment horizontal="right"/>
    </xf>
    <xf numFmtId="0" fontId="3" fillId="0" borderId="26" xfId="0" applyFont="1" applyFill="1" applyBorder="1" applyAlignment="1">
      <alignment horizontal="center"/>
    </xf>
    <xf numFmtId="0" fontId="3" fillId="0" borderId="28" xfId="0" applyFont="1" applyFill="1" applyBorder="1" applyAlignment="1">
      <alignment horizontal="center"/>
    </xf>
    <xf numFmtId="3" fontId="4" fillId="0" borderId="26" xfId="82" applyNumberFormat="1" applyFont="1" applyFill="1" applyBorder="1"/>
    <xf numFmtId="168" fontId="3" fillId="0" borderId="62" xfId="82" applyNumberFormat="1" applyFont="1" applyFill="1" applyBorder="1"/>
    <xf numFmtId="168" fontId="3" fillId="0" borderId="70" xfId="82" applyNumberFormat="1" applyFont="1" applyBorder="1"/>
    <xf numFmtId="0" fontId="4" fillId="25" borderId="66" xfId="0" applyFont="1" applyFill="1" applyBorder="1" applyAlignment="1">
      <alignment horizontal="center"/>
    </xf>
    <xf numFmtId="0" fontId="3" fillId="0" borderId="36" xfId="0" applyFont="1" applyFill="1" applyBorder="1" applyAlignment="1">
      <alignment horizontal="right"/>
    </xf>
    <xf numFmtId="3" fontId="4" fillId="25" borderId="62" xfId="82" applyNumberFormat="1" applyFont="1" applyFill="1" applyBorder="1" applyAlignment="1">
      <alignment horizontal="right"/>
    </xf>
    <xf numFmtId="3" fontId="4" fillId="24" borderId="62" xfId="82" applyNumberFormat="1" applyFont="1" applyFill="1" applyBorder="1" applyAlignment="1">
      <alignment horizontal="right"/>
    </xf>
    <xf numFmtId="166" fontId="4" fillId="0" borderId="56" xfId="134" applyNumberFormat="1" applyFont="1" applyFill="1" applyBorder="1" applyAlignment="1">
      <alignment horizontal="right"/>
    </xf>
    <xf numFmtId="0" fontId="3" fillId="0" borderId="24" xfId="0" applyFont="1" applyFill="1" applyBorder="1" applyAlignment="1">
      <alignment horizontal="centerContinuous"/>
    </xf>
    <xf numFmtId="164" fontId="4" fillId="0" borderId="62" xfId="0" applyNumberFormat="1" applyFont="1" applyFill="1" applyBorder="1" applyAlignment="1">
      <alignment horizontal="center"/>
    </xf>
    <xf numFmtId="0" fontId="4" fillId="0" borderId="26" xfId="0" applyNumberFormat="1" applyFont="1" applyFill="1" applyBorder="1"/>
    <xf numFmtId="164" fontId="4" fillId="0" borderId="26" xfId="0" applyNumberFormat="1" applyFont="1" applyFill="1" applyBorder="1" applyAlignment="1">
      <alignment horizontal="right"/>
    </xf>
    <xf numFmtId="170" fontId="4" fillId="0" borderId="26" xfId="0" applyNumberFormat="1" applyFont="1" applyFill="1" applyBorder="1"/>
    <xf numFmtId="3" fontId="4" fillId="0" borderId="55" xfId="82" applyNumberFormat="1" applyFont="1" applyFill="1" applyBorder="1" applyAlignment="1">
      <alignment horizontal="right"/>
    </xf>
    <xf numFmtId="0" fontId="3" fillId="0" borderId="13" xfId="0" applyFont="1" applyFill="1" applyBorder="1" applyAlignment="1">
      <alignment horizontal="center"/>
    </xf>
    <xf numFmtId="0" fontId="3" fillId="0" borderId="21" xfId="0" applyFont="1" applyFill="1" applyBorder="1" applyAlignment="1">
      <alignment horizontal="center"/>
    </xf>
    <xf numFmtId="0" fontId="4" fillId="0" borderId="82" xfId="0" applyFont="1" applyBorder="1"/>
    <xf numFmtId="0" fontId="4" fillId="0" borderId="83" xfId="0" applyFont="1" applyFill="1" applyBorder="1"/>
    <xf numFmtId="168" fontId="4" fillId="0" borderId="32" xfId="82" applyNumberFormat="1" applyFont="1" applyFill="1" applyBorder="1"/>
    <xf numFmtId="168" fontId="3" fillId="0" borderId="33" xfId="82" applyNumberFormat="1" applyFont="1" applyFill="1" applyBorder="1"/>
    <xf numFmtId="168" fontId="3" fillId="0" borderId="44" xfId="82" applyNumberFormat="1" applyFont="1" applyFill="1" applyBorder="1"/>
    <xf numFmtId="164" fontId="4" fillId="0" borderId="44" xfId="0" applyNumberFormat="1" applyFont="1" applyFill="1" applyBorder="1" applyAlignment="1">
      <alignment horizontal="center"/>
    </xf>
    <xf numFmtId="164" fontId="4" fillId="0" borderId="50" xfId="0" applyNumberFormat="1" applyFont="1" applyFill="1" applyBorder="1" applyAlignment="1">
      <alignment horizontal="center"/>
    </xf>
    <xf numFmtId="0" fontId="4" fillId="0" borderId="50" xfId="0" applyFont="1" applyFill="1" applyBorder="1" applyAlignment="1">
      <alignment horizontal="center"/>
    </xf>
    <xf numFmtId="164" fontId="4" fillId="0" borderId="84" xfId="0" applyNumberFormat="1" applyFont="1" applyFill="1" applyBorder="1" applyAlignment="1">
      <alignment horizontal="center"/>
    </xf>
    <xf numFmtId="3" fontId="4" fillId="0" borderId="35" xfId="82" applyNumberFormat="1" applyFont="1" applyFill="1" applyBorder="1" applyAlignment="1">
      <alignment horizontal="right"/>
    </xf>
    <xf numFmtId="3" fontId="3" fillId="0" borderId="44" xfId="0" applyNumberFormat="1" applyFont="1" applyFill="1" applyBorder="1" applyAlignment="1">
      <alignment horizontal="right"/>
    </xf>
    <xf numFmtId="164" fontId="4" fillId="0" borderId="36" xfId="86" applyNumberFormat="1" applyFont="1" applyFill="1" applyBorder="1" applyAlignment="1">
      <alignment horizontal="right"/>
    </xf>
    <xf numFmtId="0" fontId="3" fillId="0" borderId="17" xfId="0" applyFont="1" applyFill="1" applyBorder="1" applyAlignment="1">
      <alignment horizontal="center"/>
    </xf>
    <xf numFmtId="3" fontId="3" fillId="0" borderId="36" xfId="0" applyNumberFormat="1" applyFont="1" applyFill="1" applyBorder="1" applyAlignment="1">
      <alignment horizontal="right"/>
    </xf>
    <xf numFmtId="3" fontId="3" fillId="0" borderId="36" xfId="82" applyNumberFormat="1" applyFont="1" applyFill="1" applyBorder="1" applyAlignment="1">
      <alignment horizontal="right"/>
    </xf>
    <xf numFmtId="164" fontId="4" fillId="0" borderId="17" xfId="0" applyNumberFormat="1" applyFont="1" applyFill="1" applyBorder="1" applyAlignment="1">
      <alignment horizontal="center"/>
    </xf>
    <xf numFmtId="0" fontId="4" fillId="0" borderId="13" xfId="0" applyNumberFormat="1" applyFont="1" applyFill="1" applyBorder="1"/>
    <xf numFmtId="0" fontId="3" fillId="0" borderId="83" xfId="0" applyFont="1" applyFill="1" applyBorder="1" applyAlignment="1">
      <alignment horizontal="center"/>
    </xf>
    <xf numFmtId="166" fontId="4" fillId="0" borderId="33" xfId="134" applyNumberFormat="1" applyFont="1" applyFill="1" applyBorder="1"/>
    <xf numFmtId="166" fontId="4" fillId="0" borderId="35" xfId="134" applyNumberFormat="1" applyFont="1" applyFill="1" applyBorder="1"/>
    <xf numFmtId="3" fontId="4" fillId="0" borderId="35" xfId="0" applyNumberFormat="1" applyFont="1" applyFill="1" applyBorder="1"/>
    <xf numFmtId="166" fontId="4" fillId="0" borderId="85" xfId="134" applyNumberFormat="1" applyFont="1" applyFill="1" applyBorder="1"/>
    <xf numFmtId="164" fontId="4" fillId="0" borderId="35" xfId="0" applyNumberFormat="1" applyFont="1" applyFill="1" applyBorder="1" applyAlignment="1">
      <alignment horizontal="right"/>
    </xf>
    <xf numFmtId="164" fontId="4" fillId="0" borderId="64" xfId="86" applyNumberFormat="1" applyFont="1" applyFill="1" applyBorder="1" applyAlignment="1">
      <alignment horizontal="right"/>
    </xf>
    <xf numFmtId="164" fontId="4" fillId="0" borderId="68" xfId="0" applyNumberFormat="1" applyFont="1" applyFill="1" applyBorder="1" applyAlignment="1">
      <alignment horizontal="center"/>
    </xf>
    <xf numFmtId="0" fontId="4" fillId="25" borderId="62" xfId="0" applyFont="1" applyFill="1" applyBorder="1" applyAlignment="1">
      <alignment horizontal="center"/>
    </xf>
    <xf numFmtId="0" fontId="4" fillId="0" borderId="62" xfId="0" applyFont="1" applyFill="1" applyBorder="1" applyAlignment="1">
      <alignment horizontal="center"/>
    </xf>
    <xf numFmtId="164" fontId="4" fillId="0" borderId="86" xfId="0" applyNumberFormat="1" applyFont="1" applyFill="1" applyBorder="1" applyAlignment="1">
      <alignment horizontal="center"/>
    </xf>
    <xf numFmtId="164" fontId="4" fillId="0" borderId="86" xfId="0" applyNumberFormat="1" applyFont="1" applyBorder="1" applyAlignment="1">
      <alignment horizontal="center"/>
    </xf>
    <xf numFmtId="164" fontId="4" fillId="0" borderId="84" xfId="0" applyNumberFormat="1" applyFont="1" applyBorder="1"/>
    <xf numFmtId="164" fontId="4" fillId="0" borderId="87" xfId="0" applyNumberFormat="1" applyFont="1" applyBorder="1"/>
    <xf numFmtId="164" fontId="4" fillId="0" borderId="25" xfId="0" applyNumberFormat="1" applyFont="1" applyBorder="1"/>
    <xf numFmtId="164" fontId="4" fillId="0" borderId="31" xfId="0" applyNumberFormat="1" applyFont="1" applyBorder="1"/>
    <xf numFmtId="0" fontId="4" fillId="0" borderId="15" xfId="0" applyFont="1" applyFill="1" applyBorder="1" applyAlignment="1">
      <alignment horizontal="right"/>
    </xf>
    <xf numFmtId="0" fontId="4" fillId="0" borderId="77" xfId="0" applyFont="1" applyFill="1" applyBorder="1" applyAlignment="1">
      <alignment horizontal="right"/>
    </xf>
    <xf numFmtId="3" fontId="3" fillId="0" borderId="64" xfId="82" applyNumberFormat="1" applyFont="1" applyFill="1" applyBorder="1" applyAlignment="1">
      <alignment horizontal="right"/>
    </xf>
    <xf numFmtId="0" fontId="3" fillId="0" borderId="9" xfId="0" applyFont="1" applyFill="1" applyBorder="1" applyAlignment="1">
      <alignment horizontal="center"/>
    </xf>
    <xf numFmtId="170" fontId="4" fillId="0" borderId="62" xfId="0" applyNumberFormat="1" applyFont="1" applyBorder="1" applyAlignment="1">
      <alignment horizontal="right"/>
    </xf>
    <xf numFmtId="170" fontId="4" fillId="0" borderId="68" xfId="0" applyNumberFormat="1" applyFont="1" applyBorder="1" applyAlignment="1">
      <alignment horizontal="right"/>
    </xf>
    <xf numFmtId="170" fontId="4" fillId="0" borderId="70" xfId="0" applyNumberFormat="1" applyFont="1" applyBorder="1" applyAlignment="1">
      <alignment horizontal="right"/>
    </xf>
    <xf numFmtId="170" fontId="4" fillId="0" borderId="33" xfId="0" applyNumberFormat="1" applyFont="1" applyBorder="1" applyAlignment="1">
      <alignment horizontal="right"/>
    </xf>
    <xf numFmtId="170" fontId="4" fillId="0" borderId="35" xfId="0" applyNumberFormat="1" applyFont="1" applyBorder="1" applyAlignment="1">
      <alignment horizontal="right"/>
    </xf>
    <xf numFmtId="170" fontId="4" fillId="0" borderId="44" xfId="86" applyNumberFormat="1" applyFont="1" applyBorder="1" applyAlignment="1">
      <alignment horizontal="right"/>
    </xf>
    <xf numFmtId="170" fontId="4" fillId="0" borderId="62" xfId="0" applyNumberFormat="1" applyFont="1" applyFill="1" applyBorder="1" applyAlignment="1">
      <alignment horizontal="right"/>
    </xf>
    <xf numFmtId="170" fontId="4" fillId="0" borderId="68" xfId="0" applyNumberFormat="1" applyFont="1" applyFill="1" applyBorder="1" applyAlignment="1">
      <alignment horizontal="right"/>
    </xf>
    <xf numFmtId="170" fontId="4" fillId="0" borderId="33" xfId="0" applyNumberFormat="1" applyFont="1" applyFill="1" applyBorder="1" applyAlignment="1">
      <alignment horizontal="right"/>
    </xf>
    <xf numFmtId="170" fontId="4" fillId="0" borderId="35" xfId="0" applyNumberFormat="1" applyFont="1" applyFill="1" applyBorder="1" applyAlignment="1">
      <alignment horizontal="right"/>
    </xf>
    <xf numFmtId="170" fontId="4" fillId="0" borderId="44" xfId="0" applyNumberFormat="1" applyFont="1" applyFill="1" applyBorder="1" applyAlignment="1">
      <alignment horizontal="right"/>
    </xf>
    <xf numFmtId="170" fontId="4" fillId="0" borderId="70" xfId="0" applyNumberFormat="1" applyFont="1" applyFill="1" applyBorder="1" applyAlignment="1">
      <alignment horizontal="right"/>
    </xf>
    <xf numFmtId="0" fontId="3" fillId="0" borderId="88" xfId="0" applyFont="1" applyBorder="1"/>
    <xf numFmtId="0" fontId="10" fillId="0" borderId="42" xfId="0" applyFont="1" applyBorder="1" applyAlignment="1">
      <alignment horizontal="left" indent="1"/>
    </xf>
    <xf numFmtId="0" fontId="4" fillId="0" borderId="42" xfId="0" applyFont="1" applyBorder="1" applyAlignment="1">
      <alignment horizontal="left" indent="1"/>
    </xf>
    <xf numFmtId="0" fontId="4" fillId="0" borderId="42" xfId="0" applyFont="1" applyBorder="1" applyAlignment="1">
      <alignment horizontal="left" wrapText="1" indent="1"/>
    </xf>
    <xf numFmtId="0" fontId="3" fillId="0" borderId="42" xfId="0" applyFont="1" applyBorder="1" applyAlignment="1">
      <alignment horizontal="left" indent="1"/>
    </xf>
    <xf numFmtId="0" fontId="3" fillId="0" borderId="51" xfId="0" applyFont="1" applyBorder="1" applyAlignment="1">
      <alignment horizontal="left" indent="1"/>
    </xf>
    <xf numFmtId="0" fontId="3" fillId="0" borderId="89" xfId="0" applyFont="1" applyBorder="1"/>
    <xf numFmtId="0" fontId="4" fillId="0" borderId="51" xfId="0" applyFont="1" applyBorder="1"/>
    <xf numFmtId="0" fontId="8" fillId="0" borderId="90" xfId="0" applyFont="1" applyBorder="1"/>
    <xf numFmtId="0" fontId="3" fillId="0" borderId="90" xfId="0" applyFont="1" applyBorder="1"/>
    <xf numFmtId="0" fontId="3" fillId="0" borderId="39" xfId="0" applyFont="1" applyBorder="1" applyAlignment="1">
      <alignment horizontal="left" indent="1"/>
    </xf>
    <xf numFmtId="0" fontId="4" fillId="0" borderId="42" xfId="0" applyFont="1" applyBorder="1" applyAlignment="1">
      <alignment horizontal="left"/>
    </xf>
    <xf numFmtId="0" fontId="4" fillId="0" borderId="43" xfId="0" applyFont="1" applyBorder="1" applyAlignment="1">
      <alignment horizontal="left"/>
    </xf>
    <xf numFmtId="0" fontId="4" fillId="0" borderId="85" xfId="0" applyFont="1" applyFill="1" applyBorder="1"/>
    <xf numFmtId="0" fontId="4" fillId="0" borderId="72" xfId="0" applyFont="1" applyBorder="1" applyAlignment="1">
      <alignment horizontal="center"/>
    </xf>
    <xf numFmtId="0" fontId="4" fillId="0" borderId="88" xfId="0" applyFont="1" applyBorder="1"/>
    <xf numFmtId="0" fontId="5" fillId="0" borderId="42" xfId="0" applyFont="1" applyBorder="1"/>
    <xf numFmtId="0" fontId="4" fillId="0" borderId="39" xfId="0" applyFont="1" applyBorder="1" applyAlignment="1">
      <alignment horizontal="right"/>
    </xf>
    <xf numFmtId="0" fontId="3" fillId="0" borderId="41" xfId="0" applyFont="1" applyBorder="1" applyAlignment="1">
      <alignment horizontal="left"/>
    </xf>
    <xf numFmtId="0" fontId="3" fillId="0" borderId="42" xfId="0" applyFont="1" applyBorder="1" applyAlignment="1">
      <alignment horizontal="left"/>
    </xf>
    <xf numFmtId="170" fontId="11" fillId="0" borderId="44" xfId="0" applyNumberFormat="1" applyFont="1" applyBorder="1" applyAlignment="1">
      <alignment horizontal="right"/>
    </xf>
    <xf numFmtId="0" fontId="4" fillId="0" borderId="43" xfId="0" applyFont="1" applyBorder="1" applyAlignment="1">
      <alignment horizontal="left" indent="1"/>
    </xf>
    <xf numFmtId="170" fontId="4" fillId="0" borderId="50" xfId="0" applyNumberFormat="1" applyFont="1" applyBorder="1" applyAlignment="1">
      <alignment horizontal="center"/>
    </xf>
    <xf numFmtId="0" fontId="4" fillId="0" borderId="61" xfId="0" applyNumberFormat="1" applyFont="1" applyBorder="1" applyAlignment="1">
      <alignment horizontal="right"/>
    </xf>
    <xf numFmtId="0" fontId="4" fillId="0" borderId="33" xfId="0" applyNumberFormat="1" applyFont="1" applyFill="1" applyBorder="1" applyAlignment="1">
      <alignment horizontal="right"/>
    </xf>
    <xf numFmtId="0" fontId="4" fillId="0" borderId="69" xfId="0" applyNumberFormat="1" applyFont="1" applyBorder="1" applyAlignment="1">
      <alignment horizontal="right"/>
    </xf>
    <xf numFmtId="170" fontId="4" fillId="0" borderId="44" xfId="86" applyNumberFormat="1" applyFont="1" applyFill="1" applyBorder="1" applyAlignment="1">
      <alignment horizontal="right"/>
    </xf>
    <xf numFmtId="0" fontId="4" fillId="0" borderId="89" xfId="0" applyFont="1" applyBorder="1"/>
    <xf numFmtId="170" fontId="3" fillId="0" borderId="42" xfId="0" applyNumberFormat="1" applyFont="1" applyBorder="1" applyAlignment="1">
      <alignment horizontal="left"/>
    </xf>
    <xf numFmtId="0" fontId="4" fillId="0" borderId="38" xfId="0" applyFont="1" applyFill="1" applyBorder="1"/>
    <xf numFmtId="0" fontId="3" fillId="0" borderId="14" xfId="0" applyFont="1" applyFill="1" applyBorder="1" applyAlignment="1">
      <alignment horizontal="centerContinuous"/>
    </xf>
    <xf numFmtId="0" fontId="4" fillId="0" borderId="39" xfId="0" applyFont="1" applyFill="1" applyBorder="1"/>
    <xf numFmtId="0" fontId="4" fillId="0" borderId="40" xfId="0" applyFont="1" applyFill="1" applyBorder="1"/>
    <xf numFmtId="0" fontId="3" fillId="0" borderId="41" xfId="0" applyFont="1" applyFill="1" applyBorder="1"/>
    <xf numFmtId="0" fontId="9" fillId="0" borderId="0" xfId="0" applyFont="1" applyFill="1" applyBorder="1" applyAlignment="1">
      <alignment horizontal="left"/>
    </xf>
    <xf numFmtId="3" fontId="4" fillId="0" borderId="0" xfId="0" applyNumberFormat="1" applyFont="1" applyFill="1"/>
    <xf numFmtId="0" fontId="4" fillId="0" borderId="19" xfId="0" applyFont="1" applyFill="1" applyBorder="1"/>
    <xf numFmtId="3" fontId="3" fillId="0" borderId="63" xfId="0" applyNumberFormat="1" applyFont="1" applyFill="1" applyBorder="1" applyAlignment="1">
      <alignment horizontal="right"/>
    </xf>
    <xf numFmtId="0" fontId="3" fillId="0" borderId="44" xfId="0" applyFont="1" applyFill="1" applyBorder="1"/>
    <xf numFmtId="164" fontId="4" fillId="0" borderId="0" xfId="0" applyNumberFormat="1" applyFont="1" applyFill="1" applyBorder="1" applyAlignment="1">
      <alignment horizontal="right"/>
    </xf>
    <xf numFmtId="0" fontId="4" fillId="0" borderId="22" xfId="0" applyFont="1" applyFill="1" applyBorder="1"/>
    <xf numFmtId="0" fontId="3" fillId="0" borderId="66" xfId="0" applyFont="1" applyFill="1" applyBorder="1" applyAlignment="1">
      <alignment horizontal="center"/>
    </xf>
    <xf numFmtId="0" fontId="3" fillId="0" borderId="50" xfId="0" applyFont="1" applyFill="1" applyBorder="1" applyAlignment="1">
      <alignment horizontal="center"/>
    </xf>
    <xf numFmtId="0" fontId="3" fillId="0" borderId="91" xfId="0" applyFont="1" applyFill="1" applyBorder="1" applyAlignment="1">
      <alignment horizontal="center"/>
    </xf>
    <xf numFmtId="0" fontId="4" fillId="0" borderId="11" xfId="0" applyFont="1" applyFill="1" applyBorder="1" applyAlignment="1">
      <alignment horizontal="right"/>
    </xf>
    <xf numFmtId="166" fontId="4" fillId="0" borderId="62" xfId="0" applyNumberFormat="1" applyFont="1" applyFill="1" applyBorder="1"/>
    <xf numFmtId="166" fontId="4" fillId="0" borderId="62" xfId="134" applyNumberFormat="1" applyFont="1" applyFill="1" applyBorder="1"/>
    <xf numFmtId="0" fontId="4" fillId="0" borderId="34" xfId="0" applyFont="1" applyFill="1" applyBorder="1" applyAlignment="1">
      <alignment horizontal="right"/>
    </xf>
    <xf numFmtId="166" fontId="4" fillId="0" borderId="68" xfId="134" applyNumberFormat="1" applyFont="1" applyFill="1" applyBorder="1"/>
    <xf numFmtId="0" fontId="3" fillId="0" borderId="34" xfId="0" applyFont="1" applyFill="1" applyBorder="1" applyAlignment="1">
      <alignment horizontal="left"/>
    </xf>
    <xf numFmtId="3" fontId="4" fillId="0" borderId="68" xfId="0" applyNumberFormat="1" applyFont="1" applyFill="1" applyBorder="1"/>
    <xf numFmtId="0" fontId="3" fillId="0" borderId="11" xfId="0" applyFont="1" applyFill="1" applyBorder="1" applyAlignment="1">
      <alignment horizontal="left"/>
    </xf>
    <xf numFmtId="0" fontId="4" fillId="0" borderId="57" xfId="0" applyFont="1" applyFill="1" applyBorder="1" applyAlignment="1">
      <alignment horizontal="right"/>
    </xf>
    <xf numFmtId="166" fontId="4" fillId="0" borderId="64" xfId="0" applyNumberFormat="1" applyFont="1" applyFill="1" applyBorder="1"/>
    <xf numFmtId="166" fontId="4" fillId="0" borderId="92" xfId="134" applyNumberFormat="1" applyFont="1" applyFill="1" applyBorder="1"/>
    <xf numFmtId="0" fontId="3" fillId="0" borderId="43" xfId="0" applyFont="1" applyFill="1" applyBorder="1" applyAlignment="1">
      <alignment horizontal="center"/>
    </xf>
    <xf numFmtId="164" fontId="4" fillId="0" borderId="62" xfId="0" applyNumberFormat="1" applyFont="1" applyFill="1" applyBorder="1" applyAlignment="1">
      <alignment horizontal="right"/>
    </xf>
    <xf numFmtId="164" fontId="4" fillId="0" borderId="61" xfId="0" applyNumberFormat="1" applyFont="1" applyFill="1" applyBorder="1" applyAlignment="1">
      <alignment horizontal="right"/>
    </xf>
    <xf numFmtId="164" fontId="4" fillId="0" borderId="68" xfId="0" applyNumberFormat="1" applyFont="1" applyFill="1" applyBorder="1" applyAlignment="1">
      <alignment horizontal="right"/>
    </xf>
    <xf numFmtId="164" fontId="3" fillId="0" borderId="26" xfId="0" applyNumberFormat="1" applyFont="1" applyBorder="1" applyAlignment="1">
      <alignment horizontal="right"/>
    </xf>
    <xf numFmtId="164" fontId="3" fillId="0" borderId="15" xfId="0" applyNumberFormat="1" applyFont="1" applyBorder="1" applyAlignment="1">
      <alignment horizontal="right"/>
    </xf>
    <xf numFmtId="170" fontId="11" fillId="0" borderId="62" xfId="0" applyNumberFormat="1" applyFont="1" applyBorder="1"/>
    <xf numFmtId="170" fontId="11" fillId="0" borderId="0" xfId="0" applyNumberFormat="1" applyFont="1"/>
    <xf numFmtId="170" fontId="11" fillId="0" borderId="68" xfId="0" applyNumberFormat="1" applyFont="1" applyFill="1" applyBorder="1" applyAlignment="1" applyProtection="1"/>
    <xf numFmtId="164" fontId="11" fillId="0" borderId="32" xfId="0" applyNumberFormat="1" applyFont="1" applyFill="1" applyBorder="1"/>
    <xf numFmtId="164" fontId="11" fillId="0" borderId="59" xfId="0" applyNumberFormat="1" applyFont="1" applyFill="1" applyBorder="1"/>
    <xf numFmtId="170" fontId="11" fillId="0" borderId="60" xfId="0" applyNumberFormat="1" applyFont="1" applyBorder="1"/>
    <xf numFmtId="170" fontId="11" fillId="0" borderId="0" xfId="0" applyNumberFormat="1" applyFont="1" applyBorder="1"/>
    <xf numFmtId="172" fontId="11" fillId="0" borderId="72" xfId="0" applyNumberFormat="1" applyFont="1" applyBorder="1"/>
    <xf numFmtId="164" fontId="11" fillId="0" borderId="61" xfId="0" applyNumberFormat="1" applyFont="1" applyFill="1" applyBorder="1"/>
    <xf numFmtId="170" fontId="11" fillId="0" borderId="72" xfId="0" applyNumberFormat="1" applyFont="1" applyBorder="1"/>
    <xf numFmtId="164" fontId="11" fillId="0" borderId="64" xfId="86" applyNumberFormat="1" applyFont="1" applyFill="1" applyBorder="1" applyAlignment="1">
      <alignment horizontal="right"/>
    </xf>
    <xf numFmtId="164" fontId="11" fillId="0" borderId="63" xfId="0" applyNumberFormat="1" applyFont="1" applyFill="1" applyBorder="1"/>
    <xf numFmtId="164" fontId="3" fillId="0" borderId="56" xfId="0" applyNumberFormat="1" applyFont="1" applyBorder="1" applyAlignment="1">
      <alignment horizontal="right"/>
    </xf>
    <xf numFmtId="164" fontId="3" fillId="0" borderId="74" xfId="0" applyNumberFormat="1" applyFont="1" applyBorder="1"/>
    <xf numFmtId="164" fontId="4" fillId="0" borderId="29" xfId="0" applyNumberFormat="1" applyFont="1" applyFill="1" applyBorder="1" applyAlignment="1">
      <alignment horizontal="center"/>
    </xf>
    <xf numFmtId="164" fontId="4" fillId="0" borderId="93" xfId="0" applyNumberFormat="1" applyFont="1" applyFill="1" applyBorder="1" applyAlignment="1">
      <alignment horizontal="center"/>
    </xf>
    <xf numFmtId="0" fontId="4" fillId="24" borderId="54" xfId="0" applyFont="1" applyFill="1" applyBorder="1"/>
    <xf numFmtId="3" fontId="4" fillId="24" borderId="55" xfId="0" applyNumberFormat="1" applyFont="1" applyFill="1" applyBorder="1" applyAlignment="1">
      <alignment horizontal="right"/>
    </xf>
    <xf numFmtId="0" fontId="4" fillId="24" borderId="77" xfId="0" applyFont="1" applyFill="1" applyBorder="1"/>
    <xf numFmtId="3" fontId="4" fillId="24" borderId="35" xfId="0" applyNumberFormat="1" applyFont="1" applyFill="1" applyBorder="1" applyAlignment="1">
      <alignment horizontal="center"/>
    </xf>
    <xf numFmtId="3" fontId="4" fillId="24" borderId="55" xfId="0" applyNumberFormat="1" applyFont="1" applyFill="1" applyBorder="1" applyAlignment="1">
      <alignment horizontal="center"/>
    </xf>
    <xf numFmtId="164" fontId="4" fillId="0" borderId="65" xfId="0" applyNumberFormat="1" applyFont="1" applyBorder="1" applyAlignment="1">
      <alignment horizontal="right"/>
    </xf>
    <xf numFmtId="0" fontId="4" fillId="0" borderId="50" xfId="0" applyFont="1" applyBorder="1" applyAlignment="1">
      <alignment horizontal="right"/>
    </xf>
    <xf numFmtId="164" fontId="4" fillId="0" borderId="65" xfId="0" applyNumberFormat="1" applyFont="1" applyFill="1" applyBorder="1" applyAlignment="1">
      <alignment horizontal="right"/>
    </xf>
    <xf numFmtId="0" fontId="4" fillId="0" borderId="66" xfId="0" applyFont="1" applyFill="1" applyBorder="1" applyAlignment="1">
      <alignment horizontal="right"/>
    </xf>
    <xf numFmtId="164" fontId="4" fillId="0" borderId="50" xfId="0" applyNumberFormat="1" applyFont="1" applyFill="1" applyBorder="1" applyAlignment="1">
      <alignment horizontal="right"/>
    </xf>
    <xf numFmtId="0" fontId="4" fillId="0" borderId="50" xfId="0" applyFont="1" applyFill="1" applyBorder="1" applyAlignment="1">
      <alignment horizontal="right"/>
    </xf>
    <xf numFmtId="170" fontId="11" fillId="0" borderId="72" xfId="0" applyNumberFormat="1" applyFont="1" applyBorder="1" applyAlignment="1">
      <alignment horizontal="right"/>
    </xf>
    <xf numFmtId="164" fontId="11" fillId="0" borderId="32" xfId="0" applyNumberFormat="1" applyFont="1" applyFill="1" applyBorder="1" applyAlignment="1">
      <alignment horizontal="right"/>
    </xf>
    <xf numFmtId="170" fontId="11" fillId="0" borderId="32" xfId="0" applyNumberFormat="1" applyFont="1" applyBorder="1" applyAlignment="1">
      <alignment horizontal="right"/>
    </xf>
    <xf numFmtId="164" fontId="4" fillId="0" borderId="63" xfId="0" applyNumberFormat="1" applyFont="1" applyBorder="1" applyAlignment="1">
      <alignment horizontal="right"/>
    </xf>
    <xf numFmtId="164" fontId="4" fillId="0" borderId="63" xfId="0" applyNumberFormat="1" applyFont="1" applyFill="1" applyBorder="1" applyAlignment="1">
      <alignment horizontal="right"/>
    </xf>
    <xf numFmtId="164" fontId="11" fillId="0" borderId="36" xfId="0" applyNumberFormat="1" applyFont="1" applyFill="1" applyBorder="1" applyAlignment="1">
      <alignment horizontal="right"/>
    </xf>
    <xf numFmtId="170" fontId="11" fillId="0" borderId="85" xfId="0" applyNumberFormat="1" applyFont="1" applyFill="1" applyBorder="1" applyAlignment="1" applyProtection="1">
      <alignment horizontal="right"/>
    </xf>
    <xf numFmtId="0" fontId="4" fillId="0" borderId="32" xfId="0" applyFont="1" applyBorder="1" applyAlignment="1">
      <alignment horizontal="right"/>
    </xf>
    <xf numFmtId="168" fontId="4" fillId="0" borderId="32" xfId="82" applyNumberFormat="1" applyFont="1" applyBorder="1" applyAlignment="1">
      <alignment horizontal="right"/>
    </xf>
    <xf numFmtId="0" fontId="4" fillId="0" borderId="59" xfId="0" applyFont="1" applyFill="1" applyBorder="1" applyAlignment="1">
      <alignment horizontal="right"/>
    </xf>
    <xf numFmtId="168" fontId="4" fillId="0" borderId="60" xfId="82" applyNumberFormat="1" applyFont="1" applyFill="1" applyBorder="1" applyAlignment="1">
      <alignment horizontal="right"/>
    </xf>
    <xf numFmtId="0" fontId="4" fillId="0" borderId="32" xfId="0" applyFont="1" applyFill="1" applyBorder="1" applyAlignment="1">
      <alignment horizontal="right"/>
    </xf>
    <xf numFmtId="168" fontId="4" fillId="0" borderId="32" xfId="82" applyNumberFormat="1" applyFont="1" applyFill="1" applyBorder="1" applyAlignment="1">
      <alignment horizontal="right"/>
    </xf>
    <xf numFmtId="0" fontId="4" fillId="0" borderId="33" xfId="0" applyFont="1" applyBorder="1" applyAlignment="1">
      <alignment horizontal="right"/>
    </xf>
    <xf numFmtId="168" fontId="4" fillId="0" borderId="33" xfId="82" applyNumberFormat="1" applyFont="1" applyBorder="1" applyAlignment="1">
      <alignment horizontal="right"/>
    </xf>
    <xf numFmtId="168" fontId="4" fillId="0" borderId="62" xfId="82" applyNumberFormat="1" applyFont="1" applyFill="1" applyBorder="1" applyAlignment="1">
      <alignment horizontal="right"/>
    </xf>
    <xf numFmtId="168" fontId="4" fillId="0" borderId="33" xfId="82" applyNumberFormat="1" applyFont="1" applyFill="1" applyBorder="1" applyAlignment="1">
      <alignment horizontal="right"/>
    </xf>
    <xf numFmtId="168" fontId="3" fillId="0" borderId="62" xfId="82" applyNumberFormat="1" applyFont="1" applyBorder="1" applyAlignment="1">
      <alignment horizontal="right"/>
    </xf>
    <xf numFmtId="0" fontId="3" fillId="0" borderId="33" xfId="0" applyFont="1" applyBorder="1" applyAlignment="1">
      <alignment horizontal="right"/>
    </xf>
    <xf numFmtId="168" fontId="3" fillId="0" borderId="33" xfId="82" applyNumberFormat="1" applyFont="1" applyBorder="1" applyAlignment="1">
      <alignment horizontal="right"/>
    </xf>
    <xf numFmtId="0" fontId="3" fillId="0" borderId="61" xfId="0" applyFont="1" applyFill="1" applyBorder="1" applyAlignment="1">
      <alignment horizontal="right"/>
    </xf>
    <xf numFmtId="0" fontId="3" fillId="0" borderId="33" xfId="0" applyFont="1" applyFill="1" applyBorder="1" applyAlignment="1">
      <alignment horizontal="right"/>
    </xf>
    <xf numFmtId="168" fontId="3" fillId="0" borderId="33" xfId="82" applyNumberFormat="1" applyFont="1" applyFill="1" applyBorder="1" applyAlignment="1">
      <alignment horizontal="right"/>
    </xf>
    <xf numFmtId="0" fontId="3" fillId="0" borderId="61" xfId="0" applyFont="1" applyBorder="1" applyAlignment="1">
      <alignment horizontal="right"/>
    </xf>
    <xf numFmtId="168" fontId="3" fillId="0" borderId="62" xfId="82" applyNumberFormat="1" applyFont="1" applyFill="1" applyBorder="1" applyAlignment="1">
      <alignment horizontal="right"/>
    </xf>
    <xf numFmtId="164" fontId="4" fillId="0" borderId="9" xfId="0" applyNumberFormat="1" applyFont="1" applyFill="1" applyBorder="1" applyAlignment="1">
      <alignment horizontal="center"/>
    </xf>
    <xf numFmtId="3" fontId="4" fillId="24" borderId="55" xfId="82" applyNumberFormat="1" applyFont="1" applyFill="1" applyBorder="1" applyAlignment="1">
      <alignment horizontal="right"/>
    </xf>
    <xf numFmtId="3" fontId="4" fillId="0" borderId="13" xfId="0" applyNumberFormat="1" applyFont="1" applyFill="1" applyBorder="1" applyAlignment="1">
      <alignment horizontal="center"/>
    </xf>
    <xf numFmtId="170" fontId="11" fillId="0" borderId="33" xfId="0" applyNumberFormat="1" applyFont="1" applyBorder="1"/>
    <xf numFmtId="0" fontId="4" fillId="0" borderId="33" xfId="0" applyFont="1" applyFill="1" applyBorder="1" applyAlignment="1">
      <alignment horizontal="center"/>
    </xf>
    <xf numFmtId="170" fontId="11" fillId="0" borderId="32" xfId="0" applyNumberFormat="1" applyFont="1" applyBorder="1"/>
    <xf numFmtId="170" fontId="11" fillId="0" borderId="85" xfId="0" applyNumberFormat="1" applyFont="1" applyFill="1" applyBorder="1" applyAlignment="1" applyProtection="1"/>
    <xf numFmtId="3" fontId="4" fillId="0" borderId="94" xfId="82" applyNumberFormat="1" applyFont="1" applyFill="1" applyBorder="1" applyAlignment="1">
      <alignment horizontal="right"/>
    </xf>
    <xf numFmtId="3" fontId="4" fillId="0" borderId="73" xfId="0" applyNumberFormat="1" applyFont="1" applyFill="1" applyBorder="1" applyAlignment="1">
      <alignment horizontal="right"/>
    </xf>
    <xf numFmtId="3" fontId="4" fillId="0" borderId="36" xfId="82" applyNumberFormat="1" applyFont="1" applyFill="1" applyBorder="1" applyAlignment="1">
      <alignment horizontal="right"/>
    </xf>
    <xf numFmtId="0" fontId="4" fillId="0" borderId="47" xfId="0" applyFont="1" applyBorder="1"/>
    <xf numFmtId="0" fontId="3" fillId="0" borderId="38" xfId="0" applyFont="1" applyBorder="1" applyAlignment="1">
      <alignment horizontal="left"/>
    </xf>
    <xf numFmtId="0" fontId="3" fillId="0" borderId="39" xfId="0" applyFont="1" applyBorder="1" applyAlignment="1">
      <alignment horizontal="left"/>
    </xf>
    <xf numFmtId="166" fontId="4" fillId="0" borderId="72" xfId="134" applyNumberFormat="1" applyFont="1" applyFill="1" applyBorder="1" applyAlignment="1">
      <alignment horizontal="center"/>
    </xf>
    <xf numFmtId="166" fontId="4" fillId="0" borderId="80" xfId="134" applyNumberFormat="1" applyFont="1" applyFill="1" applyBorder="1" applyAlignment="1">
      <alignment horizontal="center"/>
    </xf>
    <xf numFmtId="169" fontId="4" fillId="0" borderId="72" xfId="134" applyNumberFormat="1" applyFont="1" applyBorder="1" applyAlignment="1">
      <alignment horizontal="right"/>
    </xf>
    <xf numFmtId="169" fontId="4" fillId="0" borderId="72" xfId="134" applyNumberFormat="1" applyFont="1" applyFill="1" applyBorder="1" applyAlignment="1">
      <alignment horizontal="center"/>
    </xf>
    <xf numFmtId="3" fontId="4" fillId="0" borderId="85" xfId="82" applyNumberFormat="1" applyFont="1" applyBorder="1" applyAlignment="1">
      <alignment horizontal="right"/>
    </xf>
    <xf numFmtId="169" fontId="4" fillId="0" borderId="92" xfId="134" applyNumberFormat="1" applyFont="1" applyBorder="1" applyAlignment="1">
      <alignment horizontal="right"/>
    </xf>
    <xf numFmtId="3" fontId="4" fillId="0" borderId="85" xfId="82" applyNumberFormat="1" applyFont="1" applyBorder="1" applyAlignment="1">
      <alignment horizontal="center"/>
    </xf>
    <xf numFmtId="169" fontId="4" fillId="0" borderId="92" xfId="134" applyNumberFormat="1" applyFont="1" applyFill="1" applyBorder="1" applyAlignment="1">
      <alignment horizontal="center"/>
    </xf>
    <xf numFmtId="0" fontId="13" fillId="0" borderId="0" xfId="127" applyFont="1" applyBorder="1"/>
    <xf numFmtId="0" fontId="4" fillId="0" borderId="40" xfId="0" applyFont="1" applyBorder="1" applyAlignment="1">
      <alignment horizontal="right"/>
    </xf>
    <xf numFmtId="0" fontId="0" fillId="0" borderId="80" xfId="0" applyBorder="1" applyAlignment="1">
      <alignment horizontal="center"/>
    </xf>
    <xf numFmtId="0" fontId="0" fillId="0" borderId="72" xfId="0" applyBorder="1" applyAlignment="1"/>
    <xf numFmtId="0" fontId="3" fillId="24" borderId="0" xfId="127" quotePrefix="1" applyFont="1" applyFill="1" applyBorder="1" applyAlignment="1">
      <alignment horizontal="center"/>
    </xf>
    <xf numFmtId="0" fontId="0" fillId="24" borderId="95" xfId="0" applyFill="1" applyBorder="1" applyAlignment="1"/>
    <xf numFmtId="0" fontId="3" fillId="24" borderId="0" xfId="127" applyFont="1" applyFill="1" applyBorder="1" applyAlignment="1">
      <alignment horizontal="center"/>
    </xf>
    <xf numFmtId="0" fontId="0" fillId="24" borderId="95" xfId="0" applyFill="1" applyBorder="1" applyAlignment="1">
      <alignment horizontal="center"/>
    </xf>
    <xf numFmtId="0" fontId="3" fillId="0" borderId="0" xfId="127" applyFont="1" applyBorder="1" applyAlignment="1">
      <alignment horizontal="center"/>
    </xf>
    <xf numFmtId="0" fontId="4" fillId="24" borderId="0" xfId="0" applyFont="1" applyFill="1"/>
    <xf numFmtId="0" fontId="4" fillId="24" borderId="95" xfId="0" applyFont="1" applyFill="1" applyBorder="1"/>
    <xf numFmtId="0" fontId="4" fillId="0" borderId="60" xfId="127" applyFont="1" applyBorder="1"/>
    <xf numFmtId="2" fontId="4" fillId="0" borderId="0" xfId="127" applyNumberFormat="1" applyFont="1" applyFill="1" applyBorder="1" applyAlignment="1">
      <alignment horizontal="right"/>
    </xf>
    <xf numFmtId="2" fontId="0" fillId="0" borderId="72" xfId="0" applyNumberFormat="1" applyBorder="1" applyAlignment="1"/>
    <xf numFmtId="2" fontId="4" fillId="24" borderId="0" xfId="127" applyNumberFormat="1" applyFont="1" applyFill="1" applyBorder="1" applyAlignment="1">
      <alignment horizontal="right"/>
    </xf>
    <xf numFmtId="2" fontId="4" fillId="24" borderId="72" xfId="127" applyNumberFormat="1" applyFont="1" applyFill="1" applyBorder="1" applyAlignment="1">
      <alignment horizontal="right"/>
    </xf>
    <xf numFmtId="2" fontId="4" fillId="24" borderId="0" xfId="0" applyNumberFormat="1" applyFont="1" applyFill="1"/>
    <xf numFmtId="2" fontId="4" fillId="24" borderId="72" xfId="0" applyNumberFormat="1" applyFont="1" applyFill="1" applyBorder="1"/>
    <xf numFmtId="0" fontId="4" fillId="24" borderId="0" xfId="0" applyFont="1" applyFill="1" applyBorder="1"/>
    <xf numFmtId="0" fontId="4" fillId="24" borderId="72" xfId="127" applyFont="1" applyFill="1" applyBorder="1" applyAlignment="1"/>
    <xf numFmtId="0" fontId="4" fillId="0" borderId="72" xfId="127" applyFont="1" applyBorder="1"/>
    <xf numFmtId="0" fontId="4" fillId="0" borderId="62" xfId="127" applyFont="1" applyBorder="1"/>
    <xf numFmtId="0" fontId="3" fillId="0" borderId="96" xfId="127" applyFont="1" applyBorder="1"/>
    <xf numFmtId="0" fontId="4" fillId="24" borderId="0" xfId="127" applyFont="1" applyFill="1" applyBorder="1" applyAlignment="1">
      <alignment horizontal="right"/>
    </xf>
    <xf numFmtId="0" fontId="4" fillId="24" borderId="72" xfId="127" applyFont="1" applyFill="1" applyBorder="1" applyAlignment="1">
      <alignment horizontal="right"/>
    </xf>
    <xf numFmtId="0" fontId="4" fillId="24" borderId="72" xfId="0" applyFont="1" applyFill="1" applyBorder="1"/>
    <xf numFmtId="169" fontId="4" fillId="0" borderId="0" xfId="127" applyNumberFormat="1" applyFont="1" applyFill="1" applyBorder="1" applyAlignment="1">
      <alignment horizontal="right"/>
    </xf>
    <xf numFmtId="169" fontId="0" fillId="0" borderId="72" xfId="0" applyNumberFormat="1" applyBorder="1" applyAlignment="1"/>
    <xf numFmtId="169" fontId="4" fillId="24" borderId="0" xfId="127" applyNumberFormat="1" applyFont="1" applyFill="1" applyBorder="1" applyAlignment="1">
      <alignment horizontal="right"/>
    </xf>
    <xf numFmtId="169" fontId="4" fillId="24" borderId="72" xfId="127" applyNumberFormat="1" applyFont="1" applyFill="1" applyBorder="1" applyAlignment="1">
      <alignment horizontal="right"/>
    </xf>
    <xf numFmtId="169" fontId="4" fillId="24" borderId="0" xfId="0" applyNumberFormat="1" applyFont="1" applyFill="1"/>
    <xf numFmtId="169" fontId="4" fillId="24" borderId="72" xfId="0" applyNumberFormat="1" applyFont="1" applyFill="1" applyBorder="1"/>
    <xf numFmtId="2" fontId="4" fillId="24" borderId="72" xfId="127" applyNumberFormat="1" applyFont="1" applyFill="1" applyBorder="1" applyAlignment="1"/>
    <xf numFmtId="2" fontId="4" fillId="0" borderId="80" xfId="0" applyNumberFormat="1" applyFont="1" applyBorder="1"/>
    <xf numFmtId="0" fontId="4" fillId="0" borderId="92" xfId="127" applyFont="1" applyBorder="1"/>
    <xf numFmtId="169" fontId="4" fillId="24" borderId="85" xfId="127" applyNumberFormat="1" applyFont="1" applyFill="1" applyBorder="1" applyAlignment="1">
      <alignment horizontal="right"/>
    </xf>
    <xf numFmtId="169" fontId="4" fillId="24" borderId="92" xfId="127" applyNumberFormat="1" applyFont="1" applyFill="1" applyBorder="1" applyAlignment="1">
      <alignment horizontal="right"/>
    </xf>
    <xf numFmtId="169" fontId="4" fillId="24" borderId="85" xfId="0" applyNumberFormat="1" applyFont="1" applyFill="1" applyBorder="1"/>
    <xf numFmtId="169" fontId="4" fillId="24" borderId="92" xfId="0" applyNumberFormat="1" applyFont="1" applyFill="1" applyBorder="1"/>
    <xf numFmtId="0" fontId="4" fillId="24" borderId="85" xfId="0" applyFont="1" applyFill="1" applyBorder="1"/>
    <xf numFmtId="0" fontId="4" fillId="24" borderId="92" xfId="0" applyFont="1" applyFill="1" applyBorder="1"/>
    <xf numFmtId="0" fontId="4" fillId="0" borderId="97" xfId="0" applyFont="1" applyBorder="1"/>
    <xf numFmtId="0" fontId="3" fillId="0" borderId="98" xfId="127" applyFont="1" applyBorder="1"/>
    <xf numFmtId="0" fontId="4" fillId="0" borderId="99" xfId="127" applyFont="1" applyBorder="1"/>
    <xf numFmtId="166" fontId="4" fillId="0" borderId="65" xfId="136" applyNumberFormat="1" applyFont="1" applyBorder="1"/>
    <xf numFmtId="166" fontId="4" fillId="0" borderId="66" xfId="136" applyNumberFormat="1" applyFont="1" applyBorder="1"/>
    <xf numFmtId="166" fontId="4" fillId="0" borderId="59" xfId="136" applyNumberFormat="1" applyFont="1" applyBorder="1"/>
    <xf numFmtId="166" fontId="4" fillId="0" borderId="100" xfId="127" applyNumberFormat="1" applyFont="1" applyBorder="1"/>
    <xf numFmtId="0" fontId="4" fillId="0" borderId="101" xfId="127" applyFont="1" applyBorder="1"/>
    <xf numFmtId="166" fontId="4" fillId="0" borderId="61" xfId="136" applyNumberFormat="1" applyFont="1" applyBorder="1"/>
    <xf numFmtId="166" fontId="4" fillId="0" borderId="62" xfId="136" applyNumberFormat="1" applyFont="1" applyBorder="1"/>
    <xf numFmtId="166" fontId="4" fillId="0" borderId="79" xfId="127" applyNumberFormat="1" applyFont="1" applyBorder="1"/>
    <xf numFmtId="0" fontId="4" fillId="0" borderId="43" xfId="127" applyFont="1" applyBorder="1"/>
    <xf numFmtId="166" fontId="4" fillId="0" borderId="63" xfId="136" applyNumberFormat="1" applyFont="1" applyBorder="1"/>
    <xf numFmtId="166" fontId="4" fillId="0" borderId="53" xfId="136" applyNumberFormat="1" applyFont="1" applyFill="1" applyBorder="1"/>
    <xf numFmtId="166" fontId="4" fillId="0" borderId="102" xfId="127" applyNumberFormat="1" applyFont="1" applyBorder="1"/>
    <xf numFmtId="166" fontId="4" fillId="0" borderId="64" xfId="136" applyNumberFormat="1" applyFont="1" applyBorder="1"/>
    <xf numFmtId="0" fontId="4" fillId="0" borderId="25" xfId="0" applyNumberFormat="1" applyFont="1" applyBorder="1" applyAlignment="1">
      <alignment horizontal="center"/>
    </xf>
    <xf numFmtId="164" fontId="4" fillId="0" borderId="54" xfId="0" applyNumberFormat="1" applyFont="1" applyBorder="1" applyAlignment="1">
      <alignment horizontal="center"/>
    </xf>
    <xf numFmtId="0" fontId="4" fillId="0" borderId="27" xfId="0" applyNumberFormat="1" applyFont="1" applyBorder="1" applyAlignment="1">
      <alignment horizontal="center"/>
    </xf>
    <xf numFmtId="0" fontId="4" fillId="0" borderId="27"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25" xfId="0" applyFont="1" applyBorder="1" applyAlignment="1">
      <alignment horizontal="right"/>
    </xf>
    <xf numFmtId="3" fontId="4" fillId="0" borderId="35" xfId="0" applyNumberFormat="1" applyFont="1" applyFill="1" applyBorder="1" applyAlignment="1">
      <alignment horizontal="right"/>
    </xf>
    <xf numFmtId="1" fontId="4" fillId="0" borderId="0" xfId="134" applyNumberFormat="1" applyFont="1" applyFill="1" applyBorder="1" applyAlignment="1">
      <alignment horizontal="center"/>
    </xf>
    <xf numFmtId="1" fontId="4" fillId="0" borderId="85" xfId="134" applyNumberFormat="1" applyFont="1" applyFill="1" applyBorder="1" applyAlignment="1">
      <alignment horizontal="center"/>
    </xf>
    <xf numFmtId="2" fontId="0" fillId="0" borderId="0" xfId="0" applyNumberFormat="1" applyBorder="1" applyAlignment="1"/>
    <xf numFmtId="0" fontId="3" fillId="0" borderId="88" xfId="127" applyFont="1" applyBorder="1"/>
    <xf numFmtId="1" fontId="4" fillId="24" borderId="0" xfId="127" applyNumberFormat="1" applyFont="1" applyFill="1" applyBorder="1" applyAlignment="1">
      <alignment horizontal="right"/>
    </xf>
    <xf numFmtId="1" fontId="4" fillId="24" borderId="72" xfId="127" applyNumberFormat="1" applyFont="1" applyFill="1" applyBorder="1" applyAlignment="1">
      <alignment horizontal="right"/>
    </xf>
    <xf numFmtId="1" fontId="4" fillId="24" borderId="0" xfId="0" applyNumberFormat="1" applyFont="1" applyFill="1"/>
    <xf numFmtId="1" fontId="4" fillId="24" borderId="72" xfId="0" applyNumberFormat="1" applyFont="1" applyFill="1" applyBorder="1"/>
    <xf numFmtId="1" fontId="4" fillId="24" borderId="85" xfId="127" applyNumberFormat="1" applyFont="1" applyFill="1" applyBorder="1" applyAlignment="1">
      <alignment horizontal="right"/>
    </xf>
    <xf numFmtId="1" fontId="4" fillId="24" borderId="92" xfId="127" applyNumberFormat="1" applyFont="1" applyFill="1" applyBorder="1" applyAlignment="1">
      <alignment horizontal="right"/>
    </xf>
    <xf numFmtId="1" fontId="4" fillId="24" borderId="85" xfId="0" applyNumberFormat="1" applyFont="1" applyFill="1" applyBorder="1"/>
    <xf numFmtId="1" fontId="4" fillId="24" borderId="92" xfId="0" applyNumberFormat="1" applyFont="1" applyFill="1" applyBorder="1"/>
    <xf numFmtId="2" fontId="4" fillId="0" borderId="71" xfId="127" applyNumberFormat="1" applyFont="1" applyFill="1" applyBorder="1" applyAlignment="1">
      <alignment horizontal="right"/>
    </xf>
    <xf numFmtId="2" fontId="11" fillId="0" borderId="72" xfId="0" applyNumberFormat="1" applyFont="1" applyBorder="1" applyAlignment="1"/>
    <xf numFmtId="0" fontId="3" fillId="0" borderId="103" xfId="0" applyFont="1" applyBorder="1" applyAlignment="1">
      <alignment horizontal="center"/>
    </xf>
    <xf numFmtId="168" fontId="4" fillId="0" borderId="104" xfId="0" applyNumberFormat="1" applyFont="1" applyBorder="1"/>
    <xf numFmtId="0" fontId="4" fillId="0" borderId="45" xfId="0" applyFont="1" applyBorder="1"/>
    <xf numFmtId="0" fontId="4" fillId="0" borderId="53" xfId="0" applyFont="1" applyBorder="1"/>
    <xf numFmtId="168" fontId="3" fillId="0" borderId="102" xfId="0" applyNumberFormat="1" applyFont="1" applyBorder="1"/>
    <xf numFmtId="0" fontId="3" fillId="0" borderId="45" xfId="0" applyFont="1" applyBorder="1" applyAlignment="1">
      <alignment horizontal="center"/>
    </xf>
    <xf numFmtId="166" fontId="4" fillId="0" borderId="80" xfId="0" applyNumberFormat="1" applyFont="1" applyBorder="1"/>
    <xf numFmtId="1" fontId="4" fillId="0" borderId="47" xfId="0" applyNumberFormat="1" applyFont="1" applyBorder="1"/>
    <xf numFmtId="1" fontId="4" fillId="0" borderId="97" xfId="0" applyNumberFormat="1" applyFont="1" applyBorder="1"/>
    <xf numFmtId="2" fontId="4" fillId="0" borderId="105" xfId="0" applyNumberFormat="1" applyFont="1" applyBorder="1"/>
    <xf numFmtId="0" fontId="4" fillId="0" borderId="48" xfId="0" applyFont="1" applyBorder="1"/>
    <xf numFmtId="3" fontId="4" fillId="0" borderId="47" xfId="82" applyNumberFormat="1" applyFont="1" applyBorder="1" applyAlignment="1">
      <alignment horizontal="center"/>
    </xf>
    <xf numFmtId="0" fontId="4" fillId="0" borderId="49" xfId="0" applyFont="1" applyBorder="1"/>
    <xf numFmtId="0" fontId="4" fillId="0" borderId="78" xfId="0" applyFont="1" applyBorder="1"/>
    <xf numFmtId="168" fontId="4" fillId="0" borderId="79" xfId="0" applyNumberFormat="1" applyFont="1" applyBorder="1"/>
    <xf numFmtId="168" fontId="3" fillId="0" borderId="79" xfId="0" applyNumberFormat="1" applyFont="1" applyBorder="1"/>
    <xf numFmtId="0" fontId="4" fillId="0" borderId="52" xfId="0" applyFont="1" applyBorder="1"/>
    <xf numFmtId="168" fontId="3" fillId="0" borderId="106" xfId="0" applyNumberFormat="1" applyFont="1" applyBorder="1"/>
    <xf numFmtId="170" fontId="4" fillId="0" borderId="100" xfId="0" applyNumberFormat="1" applyFont="1" applyBorder="1"/>
    <xf numFmtId="170" fontId="4" fillId="0" borderId="79" xfId="0" applyNumberFormat="1" applyFont="1" applyBorder="1"/>
    <xf numFmtId="3" fontId="4" fillId="0" borderId="47" xfId="0" applyNumberFormat="1" applyFont="1" applyBorder="1" applyAlignment="1">
      <alignment horizontal="center"/>
    </xf>
    <xf numFmtId="170" fontId="4" fillId="0" borderId="80" xfId="0" applyNumberFormat="1" applyFont="1" applyBorder="1" applyAlignment="1">
      <alignment horizontal="center"/>
    </xf>
    <xf numFmtId="170" fontId="4" fillId="0" borderId="80" xfId="0" applyNumberFormat="1" applyFont="1" applyBorder="1"/>
    <xf numFmtId="170" fontId="4" fillId="0" borderId="102" xfId="0" applyNumberFormat="1" applyFont="1" applyBorder="1"/>
    <xf numFmtId="0" fontId="4" fillId="0" borderId="46" xfId="0" applyFont="1" applyBorder="1"/>
    <xf numFmtId="1" fontId="4" fillId="0" borderId="47" xfId="0" applyNumberFormat="1" applyFont="1" applyBorder="1" applyAlignment="1">
      <alignment horizontal="center"/>
    </xf>
    <xf numFmtId="0" fontId="4" fillId="0" borderId="107" xfId="0" applyFont="1" applyBorder="1"/>
    <xf numFmtId="0" fontId="4" fillId="0" borderId="108" xfId="0" applyFont="1" applyBorder="1"/>
    <xf numFmtId="0" fontId="4" fillId="0" borderId="46" xfId="0" applyFont="1" applyFill="1" applyBorder="1"/>
    <xf numFmtId="0" fontId="4" fillId="0" borderId="97" xfId="0" applyFont="1" applyFill="1" applyBorder="1"/>
    <xf numFmtId="0" fontId="3" fillId="0" borderId="34" xfId="0" applyFont="1" applyFill="1" applyBorder="1" applyAlignment="1">
      <alignment horizontal="center"/>
    </xf>
    <xf numFmtId="0" fontId="3" fillId="0" borderId="104" xfId="0" applyFont="1" applyFill="1" applyBorder="1" applyAlignment="1">
      <alignment horizontal="center"/>
    </xf>
    <xf numFmtId="0" fontId="3" fillId="0" borderId="109" xfId="0" applyFont="1" applyFill="1" applyBorder="1" applyAlignment="1">
      <alignment horizontal="center"/>
    </xf>
    <xf numFmtId="0" fontId="3" fillId="0" borderId="110" xfId="0" applyFont="1" applyFill="1" applyBorder="1" applyAlignment="1">
      <alignment horizontal="center"/>
    </xf>
    <xf numFmtId="1" fontId="4" fillId="0" borderId="107" xfId="0" applyNumberFormat="1" applyFont="1" applyBorder="1"/>
    <xf numFmtId="1" fontId="4" fillId="0" borderId="100" xfId="0" applyNumberFormat="1" applyFont="1" applyBorder="1"/>
    <xf numFmtId="0" fontId="4" fillId="0" borderId="79" xfId="0" applyFont="1" applyBorder="1"/>
    <xf numFmtId="0" fontId="4" fillId="0" borderId="111" xfId="0" applyFont="1" applyBorder="1"/>
    <xf numFmtId="3" fontId="4" fillId="0" borderId="100" xfId="0" applyNumberFormat="1" applyFont="1" applyBorder="1"/>
    <xf numFmtId="166" fontId="4" fillId="0" borderId="45" xfId="136" applyNumberFormat="1" applyFont="1" applyFill="1" applyBorder="1"/>
    <xf numFmtId="166" fontId="4" fillId="0" borderId="46" xfId="136" applyNumberFormat="1" applyFont="1" applyFill="1" applyBorder="1"/>
    <xf numFmtId="0" fontId="4" fillId="0" borderId="112" xfId="0" applyFont="1" applyBorder="1"/>
    <xf numFmtId="164" fontId="4" fillId="0" borderId="79" xfId="0" applyNumberFormat="1" applyFont="1" applyBorder="1"/>
    <xf numFmtId="0" fontId="4" fillId="0" borderId="110" xfId="0" applyFont="1" applyBorder="1"/>
    <xf numFmtId="1" fontId="4" fillId="0" borderId="46" xfId="0" applyNumberFormat="1" applyFont="1" applyBorder="1" applyAlignment="1">
      <alignment horizontal="center"/>
    </xf>
    <xf numFmtId="170" fontId="4" fillId="0" borderId="79" xfId="0" applyNumberFormat="1" applyFont="1" applyBorder="1" applyAlignment="1">
      <alignment horizontal="center"/>
    </xf>
    <xf numFmtId="0" fontId="4" fillId="0" borderId="47" xfId="0" applyFont="1" applyBorder="1" applyAlignment="1">
      <alignment horizontal="center"/>
    </xf>
    <xf numFmtId="1" fontId="4" fillId="0" borderId="52" xfId="0" applyNumberFormat="1" applyFont="1" applyBorder="1" applyAlignment="1">
      <alignment horizontal="center"/>
    </xf>
    <xf numFmtId="170" fontId="4" fillId="0" borderId="106" xfId="0" applyNumberFormat="1" applyFont="1" applyBorder="1" applyAlignment="1">
      <alignment horizontal="center"/>
    </xf>
    <xf numFmtId="164" fontId="4" fillId="0" borderId="47" xfId="0" applyNumberFormat="1" applyFont="1" applyFill="1" applyBorder="1" applyAlignment="1">
      <alignment horizontal="center"/>
    </xf>
    <xf numFmtId="1" fontId="4" fillId="0" borderId="11" xfId="0" applyNumberFormat="1" applyFont="1" applyBorder="1"/>
    <xf numFmtId="166" fontId="4" fillId="0" borderId="79" xfId="0" applyNumberFormat="1" applyFont="1" applyBorder="1"/>
    <xf numFmtId="0" fontId="0" fillId="0" borderId="0" xfId="0" applyBorder="1" applyAlignment="1">
      <alignment horizontal="center"/>
    </xf>
    <xf numFmtId="166" fontId="4" fillId="0" borderId="82" xfId="0" applyNumberFormat="1" applyFont="1" applyBorder="1"/>
    <xf numFmtId="1" fontId="4" fillId="0" borderId="46" xfId="0" applyNumberFormat="1" applyFont="1" applyBorder="1"/>
    <xf numFmtId="1" fontId="4" fillId="0" borderId="37" xfId="0" applyNumberFormat="1" applyFont="1" applyBorder="1"/>
    <xf numFmtId="166" fontId="4" fillId="0" borderId="113" xfId="0" applyNumberFormat="1" applyFont="1" applyBorder="1"/>
    <xf numFmtId="164" fontId="4" fillId="0" borderId="100" xfId="0" applyNumberFormat="1" applyFont="1" applyFill="1" applyBorder="1" applyAlignment="1">
      <alignment horizontal="center"/>
    </xf>
    <xf numFmtId="0" fontId="4" fillId="0" borderId="114" xfId="0" applyFont="1" applyBorder="1"/>
    <xf numFmtId="0" fontId="4" fillId="0" borderId="115" xfId="0" applyFont="1" applyBorder="1"/>
    <xf numFmtId="0" fontId="4" fillId="0" borderId="106" xfId="0" applyFont="1" applyBorder="1"/>
    <xf numFmtId="1" fontId="4" fillId="0" borderId="48" xfId="0" applyNumberFormat="1" applyFont="1" applyBorder="1"/>
    <xf numFmtId="166" fontId="4" fillId="0" borderId="104" xfId="0" applyNumberFormat="1" applyFont="1" applyBorder="1"/>
    <xf numFmtId="1" fontId="4" fillId="0" borderId="82" xfId="0" applyNumberFormat="1" applyFont="1" applyBorder="1"/>
    <xf numFmtId="1" fontId="4" fillId="0" borderId="53" xfId="0" applyNumberFormat="1" applyFont="1" applyBorder="1"/>
    <xf numFmtId="170" fontId="4" fillId="0" borderId="110" xfId="0" applyNumberFormat="1" applyFont="1" applyBorder="1"/>
    <xf numFmtId="170" fontId="4" fillId="0" borderId="78" xfId="0" applyNumberFormat="1" applyFont="1" applyBorder="1"/>
    <xf numFmtId="164" fontId="4" fillId="0" borderId="79" xfId="0" applyNumberFormat="1" applyFont="1" applyBorder="1" applyAlignment="1">
      <alignment horizontal="right"/>
    </xf>
    <xf numFmtId="170" fontId="3" fillId="0" borderId="79" xfId="0" applyNumberFormat="1" applyFont="1" applyBorder="1"/>
    <xf numFmtId="170" fontId="3" fillId="0" borderId="106" xfId="0" applyNumberFormat="1" applyFont="1" applyBorder="1"/>
    <xf numFmtId="170" fontId="4" fillId="0" borderId="82" xfId="0" applyNumberFormat="1" applyFont="1" applyBorder="1"/>
    <xf numFmtId="3" fontId="4" fillId="0" borderId="85" xfId="82" applyNumberFormat="1" applyFont="1" applyFill="1" applyBorder="1" applyAlignment="1">
      <alignment horizontal="center"/>
    </xf>
    <xf numFmtId="1" fontId="4" fillId="0" borderId="97" xfId="0" applyNumberFormat="1" applyFont="1" applyBorder="1" applyAlignment="1">
      <alignment horizontal="center"/>
    </xf>
    <xf numFmtId="0" fontId="4" fillId="0" borderId="61" xfId="0" applyNumberFormat="1" applyFont="1" applyBorder="1" applyAlignment="1">
      <alignment horizontal="center"/>
    </xf>
    <xf numFmtId="170" fontId="4" fillId="0" borderId="62" xfId="0" applyNumberFormat="1" applyFont="1" applyBorder="1" applyAlignment="1">
      <alignment horizontal="center"/>
    </xf>
    <xf numFmtId="0" fontId="4" fillId="0" borderId="33" xfId="0" applyNumberFormat="1" applyFont="1" applyBorder="1" applyAlignment="1">
      <alignment horizontal="center"/>
    </xf>
    <xf numFmtId="170" fontId="4" fillId="0" borderId="33" xfId="0" applyNumberFormat="1" applyFont="1" applyBorder="1" applyAlignment="1">
      <alignment horizontal="center"/>
    </xf>
    <xf numFmtId="0" fontId="4" fillId="0" borderId="61" xfId="0" applyNumberFormat="1" applyFont="1" applyFill="1" applyBorder="1" applyAlignment="1">
      <alignment horizontal="center"/>
    </xf>
    <xf numFmtId="170" fontId="4" fillId="0" borderId="62" xfId="0" applyNumberFormat="1" applyFont="1" applyFill="1" applyBorder="1" applyAlignment="1">
      <alignment horizontal="center"/>
    </xf>
    <xf numFmtId="0" fontId="4" fillId="0" borderId="33" xfId="0" applyNumberFormat="1" applyFont="1" applyFill="1" applyBorder="1" applyAlignment="1">
      <alignment horizontal="center"/>
    </xf>
    <xf numFmtId="170" fontId="4" fillId="0" borderId="33" xfId="0" applyNumberFormat="1" applyFont="1" applyFill="1" applyBorder="1" applyAlignment="1">
      <alignment horizontal="center"/>
    </xf>
    <xf numFmtId="164" fontId="4" fillId="0" borderId="67" xfId="0" applyNumberFormat="1" applyFont="1" applyBorder="1" applyAlignment="1">
      <alignment horizontal="center"/>
    </xf>
    <xf numFmtId="170" fontId="4" fillId="0" borderId="68" xfId="0" applyNumberFormat="1" applyFont="1" applyBorder="1" applyAlignment="1">
      <alignment horizontal="center"/>
    </xf>
    <xf numFmtId="170" fontId="4" fillId="0" borderId="35" xfId="0" applyNumberFormat="1" applyFont="1" applyBorder="1" applyAlignment="1">
      <alignment horizontal="center"/>
    </xf>
    <xf numFmtId="164" fontId="4" fillId="0" borderId="67" xfId="0" applyNumberFormat="1" applyFont="1" applyFill="1" applyBorder="1" applyAlignment="1">
      <alignment horizontal="center"/>
    </xf>
    <xf numFmtId="170" fontId="4" fillId="0" borderId="68" xfId="0" applyNumberFormat="1" applyFont="1" applyFill="1" applyBorder="1" applyAlignment="1">
      <alignment horizontal="center"/>
    </xf>
    <xf numFmtId="170" fontId="4" fillId="0" borderId="35" xfId="0" applyNumberFormat="1" applyFont="1" applyFill="1" applyBorder="1" applyAlignment="1">
      <alignment horizontal="center"/>
    </xf>
    <xf numFmtId="0" fontId="4" fillId="0" borderId="35" xfId="0" applyNumberFormat="1" applyFont="1" applyFill="1" applyBorder="1" applyAlignment="1">
      <alignment horizontal="center"/>
    </xf>
    <xf numFmtId="0" fontId="4" fillId="0" borderId="69" xfId="0" applyNumberFormat="1" applyFont="1" applyBorder="1" applyAlignment="1">
      <alignment horizontal="center"/>
    </xf>
    <xf numFmtId="170" fontId="4" fillId="0" borderId="70" xfId="0" applyNumberFormat="1" applyFont="1" applyBorder="1" applyAlignment="1">
      <alignment horizontal="center"/>
    </xf>
    <xf numFmtId="0" fontId="4" fillId="0" borderId="44" xfId="0" applyNumberFormat="1" applyFont="1" applyBorder="1" applyAlignment="1">
      <alignment horizontal="center"/>
    </xf>
    <xf numFmtId="170" fontId="4" fillId="0" borderId="44" xfId="86" applyNumberFormat="1" applyFont="1" applyBorder="1" applyAlignment="1">
      <alignment horizontal="center"/>
    </xf>
    <xf numFmtId="1" fontId="4" fillId="0" borderId="69" xfId="0" applyNumberFormat="1" applyFont="1" applyFill="1" applyBorder="1" applyAlignment="1">
      <alignment horizontal="center"/>
    </xf>
    <xf numFmtId="170" fontId="4" fillId="0" borderId="70" xfId="0" applyNumberFormat="1" applyFont="1" applyFill="1" applyBorder="1" applyAlignment="1">
      <alignment horizontal="center"/>
    </xf>
    <xf numFmtId="1" fontId="4" fillId="0" borderId="44" xfId="0" applyNumberFormat="1" applyFont="1" applyFill="1" applyBorder="1" applyAlignment="1">
      <alignment horizontal="center"/>
    </xf>
    <xf numFmtId="170" fontId="4" fillId="0" borderId="44" xfId="0" applyNumberFormat="1" applyFont="1" applyFill="1" applyBorder="1" applyAlignment="1">
      <alignment horizontal="center"/>
    </xf>
    <xf numFmtId="0" fontId="4" fillId="24" borderId="25" xfId="0" applyFont="1" applyFill="1" applyBorder="1" applyAlignment="1">
      <alignment horizontal="right"/>
    </xf>
    <xf numFmtId="0" fontId="4" fillId="24" borderId="15" xfId="0" applyFont="1" applyFill="1" applyBorder="1" applyAlignment="1">
      <alignment horizontal="right"/>
    </xf>
    <xf numFmtId="3" fontId="4" fillId="24" borderId="33" xfId="82" applyNumberFormat="1" applyFont="1" applyFill="1" applyBorder="1" applyAlignment="1">
      <alignment horizontal="right"/>
    </xf>
    <xf numFmtId="3" fontId="4" fillId="0" borderId="68" xfId="82" applyNumberFormat="1" applyFont="1" applyFill="1" applyBorder="1" applyAlignment="1">
      <alignment horizontal="right"/>
    </xf>
    <xf numFmtId="3" fontId="4" fillId="0" borderId="64" xfId="82" applyNumberFormat="1" applyFont="1" applyFill="1" applyBorder="1" applyAlignment="1">
      <alignment horizontal="right"/>
    </xf>
    <xf numFmtId="0" fontId="4" fillId="0" borderId="44" xfId="0" applyNumberFormat="1" applyFont="1" applyFill="1" applyBorder="1" applyAlignment="1">
      <alignment horizontal="center"/>
    </xf>
    <xf numFmtId="0" fontId="4" fillId="0" borderId="29" xfId="0" applyFont="1" applyFill="1" applyBorder="1" applyAlignment="1">
      <alignment horizontal="right"/>
    </xf>
    <xf numFmtId="0" fontId="4" fillId="0" borderId="16" xfId="0" applyFont="1" applyFill="1" applyBorder="1" applyAlignment="1">
      <alignment horizontal="right"/>
    </xf>
    <xf numFmtId="0" fontId="4" fillId="0" borderId="116" xfId="0" applyFont="1" applyFill="1" applyBorder="1" applyAlignment="1">
      <alignment horizontal="right"/>
    </xf>
    <xf numFmtId="0" fontId="4" fillId="0" borderId="67" xfId="0" applyNumberFormat="1" applyFont="1" applyFill="1" applyBorder="1" applyAlignment="1">
      <alignment horizontal="center"/>
    </xf>
    <xf numFmtId="0" fontId="4" fillId="0" borderId="69" xfId="0" applyNumberFormat="1" applyFont="1" applyFill="1" applyBorder="1" applyAlignment="1">
      <alignment horizontal="center"/>
    </xf>
    <xf numFmtId="3" fontId="4" fillId="0" borderId="117" xfId="82" applyNumberFormat="1" applyFont="1" applyBorder="1" applyAlignment="1">
      <alignment horizontal="right"/>
    </xf>
    <xf numFmtId="1" fontId="4" fillId="0" borderId="11" xfId="0" applyNumberFormat="1" applyFont="1" applyBorder="1" applyAlignment="1">
      <alignment horizontal="right"/>
    </xf>
    <xf numFmtId="1" fontId="4" fillId="0" borderId="82" xfId="0" applyNumberFormat="1" applyFont="1" applyBorder="1" applyAlignment="1">
      <alignment horizontal="right"/>
    </xf>
    <xf numFmtId="0" fontId="4" fillId="0" borderId="0" xfId="0" applyFont="1" applyFill="1" applyAlignment="1">
      <alignment horizontal="right"/>
    </xf>
    <xf numFmtId="3" fontId="4" fillId="0" borderId="26" xfId="82" applyNumberFormat="1" applyFont="1" applyBorder="1" applyAlignment="1">
      <alignment horizontal="right"/>
    </xf>
    <xf numFmtId="0" fontId="4" fillId="0" borderId="15" xfId="0" applyFont="1" applyBorder="1" applyAlignment="1">
      <alignment horizontal="right"/>
    </xf>
    <xf numFmtId="0" fontId="4" fillId="0" borderId="81" xfId="0" applyFont="1" applyBorder="1" applyAlignment="1">
      <alignment horizontal="right"/>
    </xf>
    <xf numFmtId="3" fontId="4" fillId="0" borderId="118" xfId="82" applyNumberFormat="1" applyFont="1" applyBorder="1" applyAlignment="1">
      <alignment horizontal="right"/>
    </xf>
    <xf numFmtId="0" fontId="4" fillId="0" borderId="119" xfId="0" applyFont="1" applyBorder="1" applyAlignment="1">
      <alignment horizontal="right"/>
    </xf>
    <xf numFmtId="3" fontId="4" fillId="0" borderId="118" xfId="82" applyNumberFormat="1" applyFont="1" applyFill="1" applyBorder="1" applyAlignment="1">
      <alignment horizontal="right"/>
    </xf>
    <xf numFmtId="0" fontId="4" fillId="0" borderId="119" xfId="0" applyFont="1" applyFill="1" applyBorder="1" applyAlignment="1">
      <alignment horizontal="right"/>
    </xf>
    <xf numFmtId="3" fontId="4" fillId="0" borderId="117" xfId="82" applyNumberFormat="1" applyFont="1" applyFill="1" applyBorder="1" applyAlignment="1">
      <alignment horizontal="right"/>
    </xf>
    <xf numFmtId="3" fontId="4" fillId="0" borderId="71" xfId="82" applyNumberFormat="1" applyFont="1" applyBorder="1" applyAlignment="1">
      <alignment horizontal="center"/>
    </xf>
    <xf numFmtId="170" fontId="4" fillId="0" borderId="100" xfId="0" applyNumberFormat="1" applyFont="1" applyBorder="1" applyAlignment="1">
      <alignment horizontal="right"/>
    </xf>
    <xf numFmtId="164" fontId="4" fillId="0" borderId="85" xfId="0" applyNumberFormat="1" applyFont="1" applyFill="1" applyBorder="1"/>
    <xf numFmtId="164" fontId="4" fillId="0" borderId="120" xfId="0" applyNumberFormat="1" applyFont="1" applyFill="1" applyBorder="1" applyAlignment="1">
      <alignment horizontal="center"/>
    </xf>
    <xf numFmtId="166" fontId="4" fillId="0" borderId="0" xfId="0" applyNumberFormat="1" applyFont="1"/>
    <xf numFmtId="166" fontId="4" fillId="0" borderId="82" xfId="0" applyNumberFormat="1" applyFont="1" applyFill="1" applyBorder="1"/>
    <xf numFmtId="166" fontId="4" fillId="0" borderId="121" xfId="0" applyNumberFormat="1" applyFont="1" applyFill="1" applyBorder="1"/>
    <xf numFmtId="166" fontId="4" fillId="0" borderId="122" xfId="0" applyNumberFormat="1" applyFont="1" applyFill="1" applyBorder="1"/>
    <xf numFmtId="166" fontId="4" fillId="0" borderId="113" xfId="0" applyNumberFormat="1" applyFont="1" applyFill="1" applyBorder="1"/>
    <xf numFmtId="0" fontId="3" fillId="0" borderId="100" xfId="0" applyFont="1" applyBorder="1" applyAlignment="1">
      <alignment horizontal="center"/>
    </xf>
    <xf numFmtId="167" fontId="4" fillId="0" borderId="72" xfId="82" applyNumberFormat="1" applyFont="1" applyBorder="1" applyAlignment="1">
      <alignment horizontal="center"/>
    </xf>
    <xf numFmtId="167" fontId="4" fillId="0" borderId="0" xfId="82" applyNumberFormat="1" applyFont="1" applyBorder="1" applyAlignment="1">
      <alignment horizontal="center"/>
    </xf>
    <xf numFmtId="2" fontId="4" fillId="0" borderId="80" xfId="0" applyNumberFormat="1" applyFont="1" applyBorder="1" applyAlignment="1">
      <alignment horizontal="center"/>
    </xf>
    <xf numFmtId="167" fontId="4" fillId="0" borderId="92" xfId="82" applyNumberFormat="1" applyFont="1" applyBorder="1" applyAlignment="1">
      <alignment horizontal="center"/>
    </xf>
    <xf numFmtId="2" fontId="4" fillId="0" borderId="105" xfId="0" applyNumberFormat="1" applyFont="1" applyBorder="1" applyAlignment="1">
      <alignment horizontal="center"/>
    </xf>
    <xf numFmtId="3" fontId="4" fillId="0" borderId="35" xfId="0" applyNumberFormat="1" applyFont="1" applyBorder="1" applyAlignment="1">
      <alignment horizontal="right"/>
    </xf>
    <xf numFmtId="0" fontId="4" fillId="0" borderId="9" xfId="0" applyFont="1" applyBorder="1"/>
    <xf numFmtId="3" fontId="4" fillId="0" borderId="56" xfId="82" applyNumberFormat="1" applyFont="1" applyBorder="1" applyAlignment="1">
      <alignment horizontal="center"/>
    </xf>
    <xf numFmtId="3" fontId="3" fillId="0" borderId="100" xfId="0" applyNumberFormat="1" applyFont="1" applyBorder="1"/>
    <xf numFmtId="0" fontId="4" fillId="24" borderId="74" xfId="0" applyFont="1" applyFill="1" applyBorder="1" applyAlignment="1">
      <alignment horizontal="right"/>
    </xf>
    <xf numFmtId="0" fontId="4" fillId="24" borderId="56" xfId="0" applyFont="1" applyFill="1" applyBorder="1" applyAlignment="1">
      <alignment horizontal="right"/>
    </xf>
    <xf numFmtId="0" fontId="4" fillId="24" borderId="73" xfId="0" applyFont="1" applyFill="1" applyBorder="1" applyAlignment="1">
      <alignment horizontal="right"/>
    </xf>
    <xf numFmtId="0" fontId="4" fillId="24" borderId="31" xfId="0" applyFont="1" applyFill="1" applyBorder="1" applyAlignment="1">
      <alignment horizontal="right"/>
    </xf>
    <xf numFmtId="0" fontId="4" fillId="0" borderId="15" xfId="0" applyNumberFormat="1" applyFont="1" applyBorder="1" applyAlignment="1">
      <alignment horizontal="center"/>
    </xf>
    <xf numFmtId="0" fontId="4" fillId="0" borderId="15" xfId="0" applyNumberFormat="1" applyFont="1" applyFill="1" applyBorder="1" applyAlignment="1">
      <alignment horizontal="center"/>
    </xf>
    <xf numFmtId="1" fontId="4" fillId="0" borderId="15" xfId="0" applyNumberFormat="1" applyFont="1" applyBorder="1" applyAlignment="1">
      <alignment horizontal="center"/>
    </xf>
    <xf numFmtId="164" fontId="4" fillId="0" borderId="15" xfId="0" applyNumberFormat="1" applyFont="1" applyBorder="1" applyAlignment="1">
      <alignment horizontal="center"/>
    </xf>
    <xf numFmtId="164" fontId="4" fillId="0" borderId="69" xfId="0" applyNumberFormat="1" applyFont="1" applyBorder="1" applyAlignment="1">
      <alignment horizontal="center"/>
    </xf>
    <xf numFmtId="0" fontId="4" fillId="0" borderId="0" xfId="0" applyFont="1" applyAlignment="1">
      <alignment horizontal="center"/>
    </xf>
    <xf numFmtId="0" fontId="4" fillId="0" borderId="25" xfId="0" applyFont="1" applyFill="1" applyBorder="1" applyAlignment="1">
      <alignment horizontal="center"/>
    </xf>
    <xf numFmtId="0" fontId="4" fillId="0" borderId="11" xfId="0" applyFont="1" applyBorder="1" applyAlignment="1">
      <alignment horizontal="center"/>
    </xf>
    <xf numFmtId="1" fontId="4" fillId="0" borderId="11" xfId="0" applyNumberFormat="1" applyFont="1" applyBorder="1" applyAlignment="1">
      <alignment horizontal="center"/>
    </xf>
    <xf numFmtId="3" fontId="4" fillId="0" borderId="11" xfId="0" applyNumberFormat="1" applyFont="1" applyBorder="1"/>
    <xf numFmtId="0" fontId="4" fillId="0" borderId="30" xfId="0" applyFont="1" applyFill="1" applyBorder="1" applyAlignment="1">
      <alignment horizontal="center"/>
    </xf>
    <xf numFmtId="0" fontId="0" fillId="0" borderId="0" xfId="0" applyAlignment="1"/>
    <xf numFmtId="0" fontId="4" fillId="0" borderId="80" xfId="0" applyFont="1" applyFill="1" applyBorder="1"/>
    <xf numFmtId="0" fontId="13" fillId="0" borderId="0" xfId="0" applyFont="1" applyAlignment="1"/>
    <xf numFmtId="0" fontId="7" fillId="0" borderId="0" xfId="0" applyFont="1" applyAlignment="1">
      <alignment horizontal="centerContinuous"/>
    </xf>
    <xf numFmtId="0" fontId="0" fillId="0" borderId="0" xfId="0" applyAlignment="1">
      <alignment horizontal="centerContinuous"/>
    </xf>
    <xf numFmtId="0" fontId="4" fillId="0" borderId="15" xfId="0" applyFont="1" applyBorder="1"/>
    <xf numFmtId="164" fontId="4" fillId="0" borderId="123" xfId="0" applyNumberFormat="1" applyFont="1" applyFill="1" applyBorder="1" applyAlignment="1">
      <alignment horizontal="center"/>
    </xf>
    <xf numFmtId="3" fontId="4" fillId="0" borderId="124" xfId="82" applyNumberFormat="1" applyFont="1" applyBorder="1" applyAlignment="1">
      <alignment horizontal="center"/>
    </xf>
    <xf numFmtId="1" fontId="4" fillId="0" borderId="79" xfId="0" applyNumberFormat="1" applyFont="1" applyBorder="1"/>
    <xf numFmtId="1" fontId="4" fillId="0" borderId="125" xfId="0" applyNumberFormat="1" applyFont="1" applyBorder="1"/>
    <xf numFmtId="1" fontId="4" fillId="0" borderId="18" xfId="0" applyNumberFormat="1" applyFont="1" applyBorder="1"/>
    <xf numFmtId="0" fontId="4" fillId="25" borderId="66" xfId="0" applyFont="1" applyFill="1" applyBorder="1"/>
    <xf numFmtId="0" fontId="4" fillId="0" borderId="62" xfId="0" applyNumberFormat="1" applyFont="1" applyFill="1" applyBorder="1" applyAlignment="1">
      <alignment horizontal="right"/>
    </xf>
    <xf numFmtId="1" fontId="3" fillId="0" borderId="64" xfId="0" applyNumberFormat="1" applyFont="1" applyFill="1" applyBorder="1" applyAlignment="1">
      <alignment horizontal="right"/>
    </xf>
    <xf numFmtId="0" fontId="4" fillId="25" borderId="65" xfId="0" applyFont="1" applyFill="1" applyBorder="1"/>
    <xf numFmtId="1" fontId="3" fillId="0" borderId="36" xfId="0" applyNumberFormat="1" applyFont="1" applyFill="1" applyBorder="1" applyAlignment="1">
      <alignment horizontal="right"/>
    </xf>
    <xf numFmtId="0" fontId="4" fillId="0" borderId="69" xfId="0" applyFont="1" applyFill="1" applyBorder="1"/>
    <xf numFmtId="168" fontId="3" fillId="0" borderId="70" xfId="82" applyNumberFormat="1" applyFont="1" applyFill="1" applyBorder="1"/>
    <xf numFmtId="170" fontId="11" fillId="0" borderId="64" xfId="0" applyNumberFormat="1" applyFont="1" applyFill="1" applyBorder="1" applyAlignment="1" applyProtection="1"/>
    <xf numFmtId="164" fontId="4" fillId="25" borderId="65" xfId="0" applyNumberFormat="1" applyFont="1" applyFill="1" applyBorder="1"/>
    <xf numFmtId="164" fontId="4" fillId="25" borderId="71" xfId="0" applyNumberFormat="1" applyFont="1" applyFill="1" applyBorder="1"/>
    <xf numFmtId="164" fontId="4" fillId="25" borderId="61" xfId="0" applyNumberFormat="1" applyFont="1" applyFill="1" applyBorder="1"/>
    <xf numFmtId="164" fontId="4" fillId="25" borderId="63" xfId="0" applyNumberFormat="1" applyFont="1" applyFill="1" applyBorder="1"/>
    <xf numFmtId="170" fontId="11" fillId="0" borderId="36" xfId="0" applyNumberFormat="1" applyFont="1" applyFill="1" applyBorder="1" applyAlignment="1" applyProtection="1"/>
    <xf numFmtId="170" fontId="11" fillId="0" borderId="62" xfId="0" applyNumberFormat="1" applyFont="1" applyFill="1" applyBorder="1"/>
    <xf numFmtId="1" fontId="4" fillId="0" borderId="108" xfId="0" applyNumberFormat="1" applyFont="1" applyBorder="1" applyAlignment="1">
      <alignment horizontal="center"/>
    </xf>
    <xf numFmtId="0" fontId="4" fillId="0" borderId="0" xfId="0" applyFont="1" applyFill="1" applyAlignment="1">
      <alignment horizontal="centerContinuous"/>
    </xf>
    <xf numFmtId="0" fontId="4" fillId="0" borderId="0" xfId="0" applyFont="1" applyAlignment="1">
      <alignment horizontal="centerContinuous"/>
    </xf>
    <xf numFmtId="0" fontId="4" fillId="0" borderId="74" xfId="0" applyFont="1" applyFill="1" applyBorder="1"/>
    <xf numFmtId="166" fontId="4" fillId="0" borderId="32" xfId="136" applyNumberFormat="1" applyFont="1" applyBorder="1"/>
    <xf numFmtId="166" fontId="4" fillId="0" borderId="33" xfId="136" applyNumberFormat="1" applyFont="1" applyBorder="1"/>
    <xf numFmtId="166" fontId="4" fillId="0" borderId="60" xfId="136" applyNumberFormat="1" applyFont="1" applyFill="1" applyBorder="1"/>
    <xf numFmtId="166" fontId="4" fillId="0" borderId="62" xfId="136" applyNumberFormat="1" applyFont="1" applyFill="1" applyBorder="1"/>
    <xf numFmtId="170" fontId="11" fillId="0" borderId="60" xfId="0" applyNumberFormat="1" applyFont="1" applyFill="1" applyBorder="1"/>
    <xf numFmtId="170" fontId="4" fillId="0" borderId="79" xfId="0" applyNumberFormat="1" applyFont="1" applyBorder="1" applyAlignment="1">
      <alignment horizontal="right"/>
    </xf>
    <xf numFmtId="170" fontId="4" fillId="0" borderId="80" xfId="0" applyNumberFormat="1" applyFont="1" applyBorder="1" applyAlignment="1">
      <alignment horizontal="right"/>
    </xf>
    <xf numFmtId="170" fontId="4" fillId="0" borderId="106" xfId="0" applyNumberFormat="1" applyFont="1" applyBorder="1" applyAlignment="1">
      <alignment horizontal="right"/>
    </xf>
    <xf numFmtId="166" fontId="4" fillId="0" borderId="36" xfId="136" applyNumberFormat="1" applyFont="1" applyBorder="1"/>
    <xf numFmtId="164" fontId="11" fillId="0" borderId="36" xfId="0" applyNumberFormat="1" applyFont="1" applyFill="1" applyBorder="1"/>
    <xf numFmtId="170" fontId="11" fillId="0" borderId="92" xfId="0" applyNumberFormat="1" applyFont="1" applyFill="1" applyBorder="1" applyAlignment="1" applyProtection="1"/>
    <xf numFmtId="170" fontId="4" fillId="0" borderId="62" xfId="0" applyNumberFormat="1" applyFont="1" applyFill="1" applyBorder="1"/>
    <xf numFmtId="0" fontId="7" fillId="0" borderId="0" xfId="0" applyFont="1" applyFill="1" applyAlignment="1">
      <alignment horizontal="centerContinuous"/>
    </xf>
    <xf numFmtId="164" fontId="11" fillId="0" borderId="33" xfId="0" applyNumberFormat="1" applyFont="1" applyFill="1" applyBorder="1"/>
    <xf numFmtId="3" fontId="4" fillId="0" borderId="35" xfId="82" applyNumberFormat="1" applyFont="1" applyBorder="1" applyAlignment="1">
      <alignment horizontal="center"/>
    </xf>
    <xf numFmtId="3" fontId="4" fillId="0" borderId="47" xfId="0" applyNumberFormat="1" applyFont="1" applyBorder="1"/>
    <xf numFmtId="170" fontId="11" fillId="0" borderId="72" xfId="0" applyNumberFormat="1" applyFont="1" applyFill="1" applyBorder="1"/>
    <xf numFmtId="3" fontId="4" fillId="0" borderId="77" xfId="0" applyNumberFormat="1" applyFont="1" applyFill="1" applyBorder="1"/>
    <xf numFmtId="0" fontId="4" fillId="0" borderId="91" xfId="0" applyFont="1" applyFill="1" applyBorder="1"/>
    <xf numFmtId="164" fontId="4" fillId="0" borderId="30" xfId="0" applyNumberFormat="1" applyFont="1" applyFill="1" applyBorder="1" applyAlignment="1">
      <alignment horizontal="center"/>
    </xf>
    <xf numFmtId="164" fontId="3" fillId="0" borderId="62" xfId="0" applyNumberFormat="1" applyFont="1" applyBorder="1" applyAlignment="1">
      <alignment horizontal="right"/>
    </xf>
    <xf numFmtId="164" fontId="3" fillId="0" borderId="64" xfId="0" applyNumberFormat="1" applyFont="1" applyBorder="1" applyAlignment="1">
      <alignment horizontal="right"/>
    </xf>
    <xf numFmtId="164" fontId="3" fillId="0" borderId="61" xfId="0" applyNumberFormat="1" applyFont="1" applyBorder="1" applyAlignment="1">
      <alignment horizontal="right"/>
    </xf>
    <xf numFmtId="164" fontId="3" fillId="0" borderId="63" xfId="0" applyNumberFormat="1" applyFont="1" applyBorder="1"/>
    <xf numFmtId="164" fontId="3" fillId="0" borderId="61" xfId="0" applyNumberFormat="1" applyFont="1" applyFill="1" applyBorder="1" applyAlignment="1">
      <alignment horizontal="right"/>
    </xf>
    <xf numFmtId="164" fontId="3" fillId="0" borderId="63" xfId="0" applyNumberFormat="1" applyFont="1" applyFill="1" applyBorder="1"/>
    <xf numFmtId="0" fontId="4" fillId="0" borderId="62" xfId="0" applyFont="1" applyBorder="1" applyAlignment="1">
      <alignment horizontal="center"/>
    </xf>
    <xf numFmtId="0" fontId="4" fillId="0" borderId="46" xfId="0" applyFont="1" applyBorder="1" applyAlignment="1">
      <alignment horizontal="center"/>
    </xf>
    <xf numFmtId="3" fontId="4" fillId="0" borderId="9" xfId="0" applyNumberFormat="1" applyFont="1" applyFill="1" applyBorder="1"/>
    <xf numFmtId="169" fontId="4" fillId="0" borderId="72" xfId="0" applyNumberFormat="1" applyFont="1" applyBorder="1" applyAlignment="1">
      <alignment horizontal="center"/>
    </xf>
    <xf numFmtId="169" fontId="4" fillId="0" borderId="92" xfId="0" applyNumberFormat="1" applyFont="1" applyBorder="1" applyAlignment="1">
      <alignment horizontal="center"/>
    </xf>
    <xf numFmtId="0" fontId="4" fillId="0" borderId="80" xfId="0" applyFont="1" applyBorder="1" applyAlignment="1">
      <alignment horizontal="center"/>
    </xf>
    <xf numFmtId="0" fontId="4" fillId="0" borderId="92" xfId="0" applyFont="1" applyBorder="1" applyAlignment="1">
      <alignment horizontal="center"/>
    </xf>
    <xf numFmtId="3" fontId="4" fillId="0" borderId="55" xfId="82" applyNumberFormat="1" applyFont="1" applyBorder="1" applyAlignment="1">
      <alignment horizontal="center"/>
    </xf>
    <xf numFmtId="3" fontId="4" fillId="0" borderId="118" xfId="82" applyNumberFormat="1" applyFont="1" applyBorder="1" applyAlignment="1">
      <alignment horizontal="center"/>
    </xf>
    <xf numFmtId="3" fontId="4" fillId="0" borderId="26" xfId="82" applyNumberFormat="1" applyFont="1" applyBorder="1" applyAlignment="1">
      <alignment horizontal="center"/>
    </xf>
    <xf numFmtId="0" fontId="4" fillId="0" borderId="35" xfId="0" applyFont="1" applyFill="1" applyBorder="1" applyAlignment="1">
      <alignment horizontal="center"/>
    </xf>
    <xf numFmtId="0" fontId="4" fillId="0" borderId="56" xfId="0" applyFont="1" applyFill="1" applyBorder="1" applyAlignment="1">
      <alignment horizontal="center"/>
    </xf>
    <xf numFmtId="0" fontId="3" fillId="0" borderId="51" xfId="0" applyFont="1" applyBorder="1" applyAlignment="1">
      <alignment horizontal="center"/>
    </xf>
    <xf numFmtId="0" fontId="4" fillId="0" borderId="71" xfId="0" applyFont="1" applyBorder="1"/>
    <xf numFmtId="0" fontId="10" fillId="0" borderId="51" xfId="0" applyFont="1" applyBorder="1" applyAlignment="1">
      <alignment horizontal="left" indent="1"/>
    </xf>
    <xf numFmtId="0" fontId="4" fillId="0" borderId="41" xfId="0" applyFont="1" applyBorder="1" applyAlignment="1">
      <alignment horizontal="left" indent="1"/>
    </xf>
    <xf numFmtId="0" fontId="3" fillId="0" borderId="89" xfId="0" applyFont="1" applyFill="1" applyBorder="1"/>
    <xf numFmtId="0" fontId="4" fillId="0" borderId="39" xfId="0" applyFont="1" applyFill="1" applyBorder="1" applyAlignment="1">
      <alignment horizontal="right"/>
    </xf>
    <xf numFmtId="0" fontId="3" fillId="0" borderId="90" xfId="0" applyFont="1" applyFill="1" applyBorder="1" applyAlignment="1">
      <alignment horizontal="center"/>
    </xf>
    <xf numFmtId="0" fontId="3" fillId="0" borderId="89" xfId="0" applyFont="1" applyFill="1" applyBorder="1" applyAlignment="1">
      <alignment horizontal="left"/>
    </xf>
    <xf numFmtId="0" fontId="4" fillId="0" borderId="42" xfId="0" applyFont="1" applyFill="1" applyBorder="1"/>
    <xf numFmtId="0" fontId="3" fillId="0" borderId="40" xfId="127" applyFont="1" applyBorder="1"/>
    <xf numFmtId="3" fontId="3" fillId="0" borderId="79" xfId="0" applyNumberFormat="1" applyFont="1" applyFill="1" applyBorder="1"/>
    <xf numFmtId="0" fontId="4" fillId="0" borderId="47" xfId="0" applyFont="1" applyFill="1" applyBorder="1"/>
    <xf numFmtId="166" fontId="4" fillId="0" borderId="80" xfId="127" applyNumberFormat="1" applyFont="1" applyBorder="1"/>
    <xf numFmtId="164" fontId="3" fillId="0" borderId="33" xfId="0" applyNumberFormat="1" applyFont="1" applyFill="1" applyBorder="1" applyAlignment="1">
      <alignment horizontal="right"/>
    </xf>
    <xf numFmtId="164" fontId="3" fillId="0" borderId="36" xfId="0" applyNumberFormat="1" applyFont="1" applyFill="1" applyBorder="1"/>
    <xf numFmtId="0" fontId="4" fillId="0" borderId="72" xfId="0" applyFont="1" applyFill="1" applyBorder="1"/>
    <xf numFmtId="0" fontId="0" fillId="0" borderId="80" xfId="0" applyBorder="1"/>
    <xf numFmtId="0" fontId="4" fillId="0" borderId="80" xfId="0" applyFont="1" applyBorder="1" applyAlignment="1">
      <alignment horizontal="right"/>
    </xf>
    <xf numFmtId="0" fontId="4" fillId="0" borderId="80" xfId="0" applyFont="1" applyFill="1" applyBorder="1" applyAlignment="1">
      <alignment horizontal="right"/>
    </xf>
    <xf numFmtId="166" fontId="4" fillId="0" borderId="0" xfId="127" applyNumberFormat="1" applyFont="1" applyBorder="1"/>
    <xf numFmtId="0" fontId="4" fillId="0" borderId="44" xfId="0" applyFont="1" applyFill="1" applyBorder="1"/>
    <xf numFmtId="0" fontId="4" fillId="24" borderId="26" xfId="0" applyFont="1" applyFill="1" applyBorder="1"/>
    <xf numFmtId="1" fontId="4" fillId="0" borderId="79" xfId="0" applyNumberFormat="1" applyFont="1" applyBorder="1" applyAlignment="1">
      <alignment horizontal="center"/>
    </xf>
    <xf numFmtId="1" fontId="4" fillId="0" borderId="34" xfId="0" applyNumberFormat="1" applyFont="1" applyBorder="1"/>
    <xf numFmtId="0" fontId="10" fillId="0" borderId="89" xfId="0" applyFont="1" applyBorder="1" applyAlignment="1">
      <alignment horizontal="left" indent="1"/>
    </xf>
    <xf numFmtId="168" fontId="4" fillId="24" borderId="60" xfId="82" applyNumberFormat="1" applyFont="1" applyFill="1" applyBorder="1"/>
    <xf numFmtId="168" fontId="4" fillId="24" borderId="62" xfId="82" applyNumberFormat="1" applyFont="1" applyFill="1" applyBorder="1"/>
    <xf numFmtId="168" fontId="3" fillId="0" borderId="104" xfId="0" applyNumberFormat="1" applyFont="1" applyBorder="1"/>
    <xf numFmtId="0" fontId="10" fillId="0" borderId="41" xfId="0" applyFont="1" applyBorder="1" applyAlignment="1">
      <alignment horizontal="left" indent="1"/>
    </xf>
    <xf numFmtId="168" fontId="4" fillId="0" borderId="100" xfId="0" applyNumberFormat="1" applyFont="1" applyBorder="1"/>
    <xf numFmtId="168" fontId="3" fillId="0" borderId="78" xfId="0" applyNumberFormat="1" applyFont="1" applyBorder="1"/>
    <xf numFmtId="168" fontId="3" fillId="0" borderId="100" xfId="0" applyNumberFormat="1" applyFont="1" applyBorder="1"/>
    <xf numFmtId="1" fontId="4" fillId="0" borderId="37" xfId="0" applyNumberFormat="1" applyFont="1" applyBorder="1" applyAlignment="1">
      <alignment horizontal="right"/>
    </xf>
    <xf numFmtId="0" fontId="5" fillId="24" borderId="43" xfId="0" applyFont="1" applyFill="1" applyBorder="1" applyAlignment="1">
      <alignment horizontal="left"/>
    </xf>
    <xf numFmtId="3" fontId="4" fillId="0" borderId="34" xfId="0" applyNumberFormat="1" applyFont="1" applyBorder="1"/>
    <xf numFmtId="169" fontId="11" fillId="0" borderId="72" xfId="0" applyNumberFormat="1" applyFont="1" applyBorder="1" applyAlignment="1"/>
    <xf numFmtId="0" fontId="14" fillId="0" borderId="0" xfId="0" applyFont="1"/>
    <xf numFmtId="3" fontId="4" fillId="0" borderId="72" xfId="0" applyNumberFormat="1" applyFont="1" applyFill="1" applyBorder="1"/>
    <xf numFmtId="1" fontId="4" fillId="0" borderId="72" xfId="0" applyNumberFormat="1" applyFont="1" applyFill="1" applyBorder="1"/>
    <xf numFmtId="1" fontId="4" fillId="0" borderId="92" xfId="0" applyNumberFormat="1" applyFont="1" applyFill="1" applyBorder="1"/>
    <xf numFmtId="169" fontId="4" fillId="0" borderId="0" xfId="0" applyNumberFormat="1" applyFont="1"/>
    <xf numFmtId="169" fontId="3" fillId="24" borderId="0" xfId="127" quotePrefix="1" applyNumberFormat="1" applyFont="1" applyFill="1" applyBorder="1" applyAlignment="1">
      <alignment horizontal="center"/>
    </xf>
    <xf numFmtId="169" fontId="0" fillId="24" borderId="95" xfId="0" applyNumberFormat="1" applyFill="1" applyBorder="1" applyAlignment="1"/>
    <xf numFmtId="169" fontId="3" fillId="24" borderId="0" xfId="127" applyNumberFormat="1" applyFont="1" applyFill="1" applyBorder="1" applyAlignment="1">
      <alignment horizontal="center"/>
    </xf>
    <xf numFmtId="169" fontId="0" fillId="24" borderId="95" xfId="0" applyNumberFormat="1" applyFill="1" applyBorder="1" applyAlignment="1">
      <alignment horizontal="center"/>
    </xf>
    <xf numFmtId="169" fontId="4" fillId="24" borderId="95" xfId="0" applyNumberFormat="1" applyFont="1" applyFill="1" applyBorder="1"/>
    <xf numFmtId="169" fontId="4" fillId="0" borderId="0" xfId="0" applyNumberFormat="1" applyFont="1" applyFill="1"/>
    <xf numFmtId="169" fontId="4" fillId="0" borderId="95" xfId="0" applyNumberFormat="1" applyFont="1" applyFill="1" applyBorder="1"/>
    <xf numFmtId="169" fontId="4" fillId="0" borderId="0" xfId="0" applyNumberFormat="1" applyFont="1" applyBorder="1"/>
    <xf numFmtId="169" fontId="4" fillId="0" borderId="71" xfId="127" applyNumberFormat="1" applyFont="1" applyFill="1" applyBorder="1" applyAlignment="1">
      <alignment horizontal="right"/>
    </xf>
    <xf numFmtId="169" fontId="4" fillId="24" borderId="0" xfId="0" applyNumberFormat="1" applyFont="1" applyFill="1" applyBorder="1"/>
    <xf numFmtId="169" fontId="4" fillId="24" borderId="72" xfId="127" applyNumberFormat="1" applyFont="1" applyFill="1" applyBorder="1" applyAlignment="1"/>
    <xf numFmtId="169" fontId="4" fillId="0" borderId="71" xfId="0" applyNumberFormat="1" applyFont="1" applyFill="1" applyBorder="1"/>
    <xf numFmtId="169" fontId="4" fillId="0" borderId="72" xfId="0" applyNumberFormat="1" applyFont="1" applyFill="1" applyBorder="1"/>
    <xf numFmtId="1" fontId="4" fillId="24" borderId="0" xfId="0" applyNumberFormat="1" applyFont="1" applyFill="1" applyBorder="1"/>
    <xf numFmtId="1" fontId="4" fillId="24" borderId="72" xfId="127" applyNumberFormat="1" applyFont="1" applyFill="1" applyBorder="1" applyAlignment="1"/>
    <xf numFmtId="1" fontId="4" fillId="0" borderId="71" xfId="0" applyNumberFormat="1" applyFont="1" applyFill="1" applyBorder="1"/>
    <xf numFmtId="1" fontId="4" fillId="0" borderId="0" xfId="0" applyNumberFormat="1" applyFont="1" applyBorder="1"/>
    <xf numFmtId="3" fontId="4" fillId="0" borderId="0" xfId="0" applyNumberFormat="1" applyFont="1" applyBorder="1"/>
    <xf numFmtId="169" fontId="4" fillId="0" borderId="0" xfId="0" applyNumberFormat="1" applyFont="1" applyFill="1" applyBorder="1"/>
    <xf numFmtId="169" fontId="4" fillId="0" borderId="85" xfId="0" applyNumberFormat="1" applyFont="1" applyFill="1" applyBorder="1"/>
    <xf numFmtId="169" fontId="4" fillId="24" borderId="126" xfId="0" applyNumberFormat="1" applyFont="1" applyFill="1" applyBorder="1"/>
    <xf numFmtId="169" fontId="0" fillId="0" borderId="0" xfId="0" applyNumberFormat="1" applyBorder="1" applyAlignment="1"/>
    <xf numFmtId="166" fontId="4" fillId="0" borderId="32" xfId="136" applyNumberFormat="1" applyFont="1" applyFill="1" applyBorder="1"/>
    <xf numFmtId="166" fontId="4" fillId="0" borderId="33" xfId="136" applyNumberFormat="1" applyFont="1" applyFill="1" applyBorder="1"/>
    <xf numFmtId="166" fontId="4" fillId="0" borderId="36" xfId="136" applyNumberFormat="1" applyFont="1" applyFill="1" applyBorder="1"/>
    <xf numFmtId="166" fontId="4" fillId="0" borderId="64" xfId="136" applyNumberFormat="1" applyFont="1" applyFill="1" applyBorder="1"/>
    <xf numFmtId="5" fontId="4" fillId="0" borderId="33" xfId="0" applyNumberFormat="1" applyFont="1" applyFill="1" applyBorder="1"/>
    <xf numFmtId="5" fontId="4" fillId="0" borderId="62" xfId="0" applyNumberFormat="1" applyFont="1" applyFill="1" applyBorder="1" applyAlignment="1">
      <alignment horizontal="center"/>
    </xf>
    <xf numFmtId="5" fontId="4" fillId="0" borderId="35" xfId="0" applyNumberFormat="1" applyFont="1" applyFill="1" applyBorder="1"/>
    <xf numFmtId="164" fontId="4" fillId="25" borderId="127" xfId="0" applyNumberFormat="1" applyFont="1" applyFill="1" applyBorder="1" applyAlignment="1">
      <alignment horizontal="center"/>
    </xf>
    <xf numFmtId="164" fontId="4" fillId="0" borderId="61" xfId="0" applyNumberFormat="1" applyFont="1" applyFill="1" applyBorder="1" applyAlignment="1">
      <alignment horizontal="center"/>
    </xf>
    <xf numFmtId="164" fontId="4" fillId="25" borderId="91" xfId="0" applyNumberFormat="1" applyFont="1" applyFill="1" applyBorder="1" applyAlignment="1">
      <alignment horizontal="center"/>
    </xf>
    <xf numFmtId="3" fontId="4" fillId="0" borderId="46" xfId="0" applyNumberFormat="1" applyFont="1" applyBorder="1" applyAlignment="1">
      <alignment horizontal="center"/>
    </xf>
    <xf numFmtId="3" fontId="4" fillId="0" borderId="52" xfId="0" applyNumberFormat="1" applyFont="1" applyBorder="1" applyAlignment="1">
      <alignment horizontal="center"/>
    </xf>
    <xf numFmtId="3" fontId="4" fillId="0" borderId="124" xfId="82" applyNumberFormat="1" applyFont="1" applyFill="1" applyBorder="1" applyAlignment="1">
      <alignment horizontal="center"/>
    </xf>
    <xf numFmtId="169" fontId="4" fillId="0" borderId="72" xfId="0" applyNumberFormat="1" applyFont="1" applyFill="1" applyBorder="1" applyAlignment="1">
      <alignment horizontal="center"/>
    </xf>
    <xf numFmtId="169" fontId="4" fillId="0" borderId="92" xfId="0" applyNumberFormat="1" applyFont="1" applyFill="1" applyBorder="1" applyAlignment="1">
      <alignment horizontal="center"/>
    </xf>
    <xf numFmtId="0" fontId="4" fillId="26" borderId="67" xfId="0" applyFont="1" applyFill="1" applyBorder="1" applyAlignment="1">
      <alignment horizontal="right"/>
    </xf>
    <xf numFmtId="166" fontId="4" fillId="26" borderId="26" xfId="134" applyNumberFormat="1" applyFont="1" applyFill="1" applyBorder="1" applyAlignment="1">
      <alignment horizontal="right"/>
    </xf>
    <xf numFmtId="0" fontId="4" fillId="26" borderId="35" xfId="0" applyFont="1" applyFill="1" applyBorder="1" applyAlignment="1">
      <alignment horizontal="right"/>
    </xf>
    <xf numFmtId="166" fontId="4" fillId="26" borderId="13" xfId="134" applyNumberFormat="1" applyFont="1" applyFill="1" applyBorder="1" applyAlignment="1">
      <alignment horizontal="right"/>
    </xf>
    <xf numFmtId="37" fontId="4" fillId="0" borderId="79" xfId="0" applyNumberFormat="1" applyFont="1" applyBorder="1"/>
    <xf numFmtId="0" fontId="4" fillId="0" borderId="92" xfId="0" applyFont="1" applyFill="1" applyBorder="1" applyAlignment="1">
      <alignment horizontal="center"/>
    </xf>
    <xf numFmtId="0" fontId="0" fillId="0" borderId="0" xfId="0" applyBorder="1"/>
    <xf numFmtId="0" fontId="14" fillId="0" borderId="9" xfId="0" applyFont="1" applyBorder="1"/>
    <xf numFmtId="0" fontId="4" fillId="0" borderId="42" xfId="127" applyFont="1" applyBorder="1"/>
    <xf numFmtId="0" fontId="0" fillId="0" borderId="71" xfId="0" applyBorder="1" applyAlignment="1">
      <alignment horizontal="center"/>
    </xf>
    <xf numFmtId="2" fontId="11" fillId="0" borderId="0" xfId="0" applyNumberFormat="1" applyFont="1" applyBorder="1" applyAlignment="1"/>
    <xf numFmtId="3" fontId="4" fillId="0" borderId="35" xfId="82" applyNumberFormat="1" applyFont="1" applyFill="1" applyBorder="1" applyAlignment="1">
      <alignment horizontal="center"/>
    </xf>
    <xf numFmtId="0" fontId="4" fillId="26" borderId="54" xfId="0" applyFont="1" applyFill="1" applyBorder="1" applyAlignment="1">
      <alignment horizontal="right"/>
    </xf>
    <xf numFmtId="166" fontId="4" fillId="26" borderId="35" xfId="134" applyNumberFormat="1" applyFont="1" applyFill="1" applyBorder="1"/>
    <xf numFmtId="166" fontId="4" fillId="26" borderId="68" xfId="134" applyNumberFormat="1" applyFont="1" applyFill="1" applyBorder="1"/>
    <xf numFmtId="0" fontId="4" fillId="26" borderId="77" xfId="0" applyFont="1" applyFill="1" applyBorder="1" applyAlignment="1">
      <alignment horizontal="right"/>
    </xf>
    <xf numFmtId="169" fontId="4" fillId="0" borderId="47" xfId="0" applyNumberFormat="1" applyFont="1" applyBorder="1" applyAlignment="1">
      <alignment horizontal="center"/>
    </xf>
    <xf numFmtId="169" fontId="4" fillId="0" borderId="80" xfId="0" applyNumberFormat="1" applyFont="1" applyBorder="1" applyAlignment="1">
      <alignment horizontal="center"/>
    </xf>
    <xf numFmtId="169" fontId="4" fillId="0" borderId="97" xfId="0" applyNumberFormat="1" applyFont="1" applyBorder="1" applyAlignment="1">
      <alignment horizontal="center"/>
    </xf>
    <xf numFmtId="169" fontId="4" fillId="0" borderId="105" xfId="0" applyNumberFormat="1" applyFont="1" applyBorder="1" applyAlignment="1">
      <alignment horizontal="center"/>
    </xf>
    <xf numFmtId="5" fontId="4" fillId="0" borderId="68" xfId="0" applyNumberFormat="1" applyFont="1" applyFill="1" applyBorder="1" applyAlignment="1">
      <alignment horizontal="center"/>
    </xf>
    <xf numFmtId="5" fontId="4" fillId="0" borderId="62" xfId="0" applyNumberFormat="1" applyFont="1" applyFill="1" applyBorder="1" applyAlignment="1">
      <alignment horizontal="right"/>
    </xf>
    <xf numFmtId="5" fontId="4" fillId="0" borderId="33" xfId="0" applyNumberFormat="1" applyFont="1" applyFill="1" applyBorder="1" applyAlignment="1">
      <alignment horizontal="right"/>
    </xf>
    <xf numFmtId="5" fontId="4" fillId="0" borderId="68" xfId="0" applyNumberFormat="1" applyFont="1" applyFill="1" applyBorder="1" applyAlignment="1">
      <alignment horizontal="right"/>
    </xf>
    <xf numFmtId="5" fontId="4" fillId="0" borderId="35" xfId="0" applyNumberFormat="1" applyFont="1" applyFill="1" applyBorder="1" applyAlignment="1">
      <alignment horizontal="right"/>
    </xf>
    <xf numFmtId="169" fontId="3" fillId="0" borderId="0" xfId="127" applyNumberFormat="1" applyFont="1" applyFill="1" applyBorder="1" applyAlignment="1">
      <alignment horizontal="center"/>
    </xf>
    <xf numFmtId="0" fontId="3" fillId="0" borderId="0" xfId="0" applyFont="1"/>
    <xf numFmtId="3" fontId="3" fillId="0" borderId="26" xfId="82" applyNumberFormat="1" applyFont="1" applyFill="1" applyBorder="1" applyAlignment="1">
      <alignment horizontal="right"/>
    </xf>
    <xf numFmtId="3" fontId="3" fillId="0" borderId="33" xfId="82" applyNumberFormat="1" applyFont="1" applyFill="1" applyBorder="1" applyAlignment="1">
      <alignment horizontal="right"/>
    </xf>
    <xf numFmtId="0" fontId="3" fillId="0" borderId="80" xfId="0" applyFont="1" applyBorder="1" applyAlignment="1">
      <alignment horizontal="right"/>
    </xf>
    <xf numFmtId="0" fontId="3" fillId="0" borderId="0" xfId="0" applyFont="1" applyFill="1"/>
    <xf numFmtId="0" fontId="3" fillId="24" borderId="15" xfId="0" applyFont="1" applyFill="1" applyBorder="1" applyAlignment="1">
      <alignment horizontal="right"/>
    </xf>
    <xf numFmtId="3" fontId="3" fillId="24" borderId="33" xfId="82" applyNumberFormat="1" applyFont="1" applyFill="1" applyBorder="1" applyAlignment="1">
      <alignment horizontal="right"/>
    </xf>
    <xf numFmtId="0" fontId="3" fillId="0" borderId="80" xfId="0" applyFont="1" applyFill="1" applyBorder="1" applyAlignment="1">
      <alignment horizontal="right"/>
    </xf>
    <xf numFmtId="3" fontId="4" fillId="26" borderId="68" xfId="82" applyNumberFormat="1" applyFont="1" applyFill="1" applyBorder="1" applyAlignment="1">
      <alignment horizontal="right"/>
    </xf>
    <xf numFmtId="0" fontId="4" fillId="0" borderId="64" xfId="0" applyFont="1" applyFill="1" applyBorder="1" applyAlignment="1">
      <alignment horizontal="center"/>
    </xf>
    <xf numFmtId="0" fontId="4" fillId="0" borderId="26" xfId="0" applyFont="1" applyFill="1" applyBorder="1" applyAlignment="1">
      <alignment horizontal="center"/>
    </xf>
    <xf numFmtId="0" fontId="4" fillId="24" borderId="62" xfId="0" applyNumberFormat="1" applyFont="1" applyFill="1" applyBorder="1" applyAlignment="1">
      <alignment horizontal="right"/>
    </xf>
    <xf numFmtId="3" fontId="4" fillId="24" borderId="68" xfId="82" applyNumberFormat="1" applyFont="1" applyFill="1" applyBorder="1" applyAlignment="1">
      <alignment horizontal="right"/>
    </xf>
    <xf numFmtId="0" fontId="3" fillId="0" borderId="90" xfId="0" applyFont="1" applyBorder="1" applyAlignment="1">
      <alignment horizontal="center"/>
    </xf>
    <xf numFmtId="0" fontId="4" fillId="24" borderId="33" xfId="0" applyNumberFormat="1" applyFont="1" applyFill="1" applyBorder="1" applyAlignment="1">
      <alignment horizontal="right"/>
    </xf>
    <xf numFmtId="164" fontId="4" fillId="24" borderId="35" xfId="0" applyNumberFormat="1" applyFont="1" applyFill="1" applyBorder="1" applyAlignment="1">
      <alignment horizontal="right"/>
    </xf>
    <xf numFmtId="0" fontId="4" fillId="24" borderId="68" xfId="0" applyNumberFormat="1" applyFont="1" applyFill="1" applyBorder="1" applyAlignment="1">
      <alignment horizontal="right"/>
    </xf>
    <xf numFmtId="1" fontId="4" fillId="24" borderId="44" xfId="0" applyNumberFormat="1" applyFont="1" applyFill="1" applyBorder="1" applyAlignment="1">
      <alignment horizontal="right"/>
    </xf>
    <xf numFmtId="171" fontId="4" fillId="24" borderId="70" xfId="0" applyNumberFormat="1" applyFont="1" applyFill="1" applyBorder="1" applyAlignment="1">
      <alignment horizontal="right"/>
    </xf>
    <xf numFmtId="170" fontId="11" fillId="24" borderId="60" xfId="0" applyNumberFormat="1" applyFont="1" applyFill="1" applyBorder="1"/>
    <xf numFmtId="164" fontId="4" fillId="24" borderId="64" xfId="86" applyNumberFormat="1" applyFont="1" applyFill="1" applyBorder="1" applyAlignment="1">
      <alignment horizontal="right"/>
    </xf>
    <xf numFmtId="5" fontId="4" fillId="24" borderId="62" xfId="0" applyNumberFormat="1" applyFont="1" applyFill="1" applyBorder="1" applyAlignment="1">
      <alignment horizontal="center"/>
    </xf>
    <xf numFmtId="5" fontId="4" fillId="24" borderId="68" xfId="0" applyNumberFormat="1" applyFont="1" applyFill="1" applyBorder="1" applyAlignment="1">
      <alignment horizontal="center"/>
    </xf>
    <xf numFmtId="1" fontId="4" fillId="0" borderId="121" xfId="0" applyNumberFormat="1" applyFont="1" applyBorder="1"/>
    <xf numFmtId="5" fontId="4" fillId="24" borderId="62" xfId="0" applyNumberFormat="1" applyFont="1" applyFill="1" applyBorder="1" applyAlignment="1">
      <alignment horizontal="right"/>
    </xf>
    <xf numFmtId="5" fontId="4" fillId="24" borderId="68" xfId="0" applyNumberFormat="1" applyFont="1" applyFill="1" applyBorder="1" applyAlignment="1">
      <alignment horizontal="right"/>
    </xf>
    <xf numFmtId="0" fontId="4" fillId="24" borderId="33" xfId="0" applyNumberFormat="1" applyFont="1" applyFill="1" applyBorder="1"/>
    <xf numFmtId="0" fontId="4" fillId="24" borderId="62" xfId="0" applyNumberFormat="1" applyFont="1" applyFill="1" applyBorder="1"/>
    <xf numFmtId="1" fontId="4" fillId="24" borderId="44" xfId="0" applyNumberFormat="1" applyFont="1" applyFill="1" applyBorder="1"/>
    <xf numFmtId="171" fontId="4" fillId="24" borderId="70" xfId="0" applyNumberFormat="1" applyFont="1" applyFill="1" applyBorder="1" applyAlignment="1">
      <alignment horizontal="center"/>
    </xf>
    <xf numFmtId="170" fontId="11" fillId="24" borderId="92" xfId="0" applyNumberFormat="1" applyFont="1" applyFill="1" applyBorder="1" applyAlignment="1" applyProtection="1"/>
    <xf numFmtId="0" fontId="4" fillId="24" borderId="77" xfId="0" applyFont="1" applyFill="1" applyBorder="1" applyAlignment="1">
      <alignment horizontal="right"/>
    </xf>
    <xf numFmtId="3" fontId="4" fillId="24" borderId="35" xfId="82" applyNumberFormat="1" applyFont="1" applyFill="1" applyBorder="1" applyAlignment="1">
      <alignment horizontal="right"/>
    </xf>
    <xf numFmtId="0" fontId="4" fillId="24" borderId="54" xfId="0" applyFont="1" applyFill="1" applyBorder="1" applyAlignment="1">
      <alignment horizontal="right"/>
    </xf>
    <xf numFmtId="1" fontId="4" fillId="0" borderId="113" xfId="0" applyNumberFormat="1" applyFont="1" applyBorder="1"/>
    <xf numFmtId="170" fontId="4" fillId="24" borderId="62" xfId="0" applyNumberFormat="1" applyFont="1" applyFill="1" applyBorder="1" applyAlignment="1">
      <alignment horizontal="right"/>
    </xf>
    <xf numFmtId="0" fontId="4" fillId="24" borderId="35" xfId="0" applyNumberFormat="1" applyFont="1" applyFill="1" applyBorder="1"/>
    <xf numFmtId="170" fontId="4" fillId="24" borderId="68" xfId="0" applyNumberFormat="1" applyFont="1" applyFill="1" applyBorder="1" applyAlignment="1">
      <alignment horizontal="right"/>
    </xf>
    <xf numFmtId="0" fontId="4" fillId="24" borderId="44" xfId="0" applyNumberFormat="1" applyFont="1" applyFill="1" applyBorder="1"/>
    <xf numFmtId="170" fontId="4" fillId="24" borderId="70" xfId="0" applyNumberFormat="1" applyFont="1" applyFill="1" applyBorder="1" applyAlignment="1">
      <alignment horizontal="right"/>
    </xf>
    <xf numFmtId="170" fontId="11" fillId="24" borderId="62" xfId="0" applyNumberFormat="1" applyFont="1" applyFill="1" applyBorder="1"/>
    <xf numFmtId="170" fontId="11" fillId="24" borderId="72" xfId="0" applyNumberFormat="1" applyFont="1" applyFill="1" applyBorder="1"/>
    <xf numFmtId="3" fontId="4" fillId="0" borderId="55" xfId="0" applyNumberFormat="1" applyFont="1" applyFill="1" applyBorder="1" applyAlignment="1">
      <alignment horizontal="center"/>
    </xf>
    <xf numFmtId="5" fontId="4" fillId="24" borderId="33" xfId="0" applyNumberFormat="1" applyFont="1" applyFill="1" applyBorder="1" applyAlignment="1">
      <alignment horizontal="right"/>
    </xf>
    <xf numFmtId="5" fontId="4" fillId="24" borderId="35" xfId="0" applyNumberFormat="1" applyFont="1" applyFill="1" applyBorder="1" applyAlignment="1">
      <alignment horizontal="right"/>
    </xf>
    <xf numFmtId="0" fontId="4" fillId="24" borderId="15" xfId="0" applyNumberFormat="1" applyFont="1" applyFill="1" applyBorder="1" applyAlignment="1">
      <alignment horizontal="center"/>
    </xf>
    <xf numFmtId="170" fontId="4" fillId="24" borderId="26" xfId="0" applyNumberFormat="1" applyFont="1" applyFill="1" applyBorder="1"/>
    <xf numFmtId="0" fontId="4" fillId="24" borderId="26" xfId="0" applyNumberFormat="1" applyFont="1" applyFill="1" applyBorder="1"/>
    <xf numFmtId="164" fontId="4" fillId="24" borderId="26" xfId="0" applyNumberFormat="1" applyFont="1" applyFill="1" applyBorder="1" applyAlignment="1">
      <alignment horizontal="right"/>
    </xf>
    <xf numFmtId="0" fontId="3" fillId="24" borderId="26" xfId="0" applyFont="1" applyFill="1" applyBorder="1" applyAlignment="1">
      <alignment horizontal="right"/>
    </xf>
    <xf numFmtId="170" fontId="3" fillId="24" borderId="68" xfId="0" applyNumberFormat="1" applyFont="1" applyFill="1" applyBorder="1" applyAlignment="1">
      <alignment horizontal="right"/>
    </xf>
    <xf numFmtId="170" fontId="3" fillId="24" borderId="64" xfId="0" applyNumberFormat="1" applyFont="1" applyFill="1" applyBorder="1" applyAlignment="1" applyProtection="1">
      <alignment horizontal="right"/>
    </xf>
    <xf numFmtId="164" fontId="4" fillId="0" borderId="64" xfId="0" applyNumberFormat="1" applyFont="1" applyFill="1" applyBorder="1" applyAlignment="1">
      <alignment horizontal="right"/>
    </xf>
    <xf numFmtId="170" fontId="4" fillId="0" borderId="36" xfId="0" applyNumberFormat="1" applyFont="1" applyFill="1" applyBorder="1" applyAlignment="1" applyProtection="1">
      <alignment horizontal="right"/>
    </xf>
    <xf numFmtId="170" fontId="4" fillId="0" borderId="64" xfId="0" applyNumberFormat="1" applyFont="1" applyFill="1" applyBorder="1" applyAlignment="1" applyProtection="1">
      <alignment horizontal="right"/>
    </xf>
    <xf numFmtId="2" fontId="4" fillId="0" borderId="72" xfId="0" applyNumberFormat="1" applyFont="1" applyFill="1" applyBorder="1" applyAlignment="1">
      <alignment horizontal="center"/>
    </xf>
    <xf numFmtId="2" fontId="4" fillId="0" borderId="92" xfId="0" applyNumberFormat="1" applyFont="1" applyFill="1" applyBorder="1" applyAlignment="1">
      <alignment horizontal="center"/>
    </xf>
    <xf numFmtId="2" fontId="4" fillId="0" borderId="72" xfId="0" applyNumberFormat="1" applyFont="1" applyBorder="1" applyAlignment="1">
      <alignment horizontal="center"/>
    </xf>
    <xf numFmtId="2" fontId="4" fillId="0" borderId="92" xfId="0" applyNumberFormat="1" applyFont="1" applyBorder="1" applyAlignment="1">
      <alignment horizontal="center"/>
    </xf>
    <xf numFmtId="2" fontId="4" fillId="0" borderId="72" xfId="134" applyNumberFormat="1" applyFont="1" applyFill="1" applyBorder="1" applyAlignment="1">
      <alignment horizontal="center"/>
    </xf>
    <xf numFmtId="2" fontId="4" fillId="0" borderId="92" xfId="134" applyNumberFormat="1" applyFont="1" applyFill="1" applyBorder="1" applyAlignment="1">
      <alignment horizontal="center"/>
    </xf>
    <xf numFmtId="167" fontId="4" fillId="0" borderId="72" xfId="82" applyNumberFormat="1" applyFont="1" applyFill="1" applyBorder="1" applyAlignment="1">
      <alignment horizontal="center"/>
    </xf>
    <xf numFmtId="166" fontId="4" fillId="0" borderId="100" xfId="0" applyNumberFormat="1" applyFont="1" applyBorder="1"/>
    <xf numFmtId="0" fontId="4" fillId="58" borderId="15" xfId="0" applyFont="1" applyFill="1" applyBorder="1" applyAlignment="1">
      <alignment horizontal="right"/>
    </xf>
    <xf numFmtId="3" fontId="4" fillId="58" borderId="33" xfId="82" applyNumberFormat="1" applyFont="1" applyFill="1" applyBorder="1" applyAlignment="1">
      <alignment horizontal="right"/>
    </xf>
    <xf numFmtId="0" fontId="4" fillId="58" borderId="25" xfId="0" applyFont="1" applyFill="1" applyBorder="1" applyAlignment="1">
      <alignment horizontal="right"/>
    </xf>
    <xf numFmtId="3" fontId="4" fillId="58" borderId="62" xfId="82" applyNumberFormat="1" applyFont="1" applyFill="1" applyBorder="1" applyAlignment="1">
      <alignment horizontal="right"/>
    </xf>
    <xf numFmtId="1" fontId="4" fillId="58" borderId="62" xfId="82" applyNumberFormat="1" applyFont="1" applyFill="1" applyBorder="1" applyAlignment="1">
      <alignment horizontal="right"/>
    </xf>
    <xf numFmtId="3" fontId="4" fillId="0" borderId="36" xfId="82" applyNumberFormat="1" applyFont="1" applyBorder="1" applyAlignment="1">
      <alignment horizontal="right"/>
    </xf>
    <xf numFmtId="0" fontId="3" fillId="0" borderId="111" xfId="0" applyFont="1" applyFill="1" applyBorder="1" applyAlignment="1">
      <alignment horizontal="center"/>
    </xf>
    <xf numFmtId="0" fontId="3" fillId="0" borderId="80" xfId="0" applyFont="1" applyFill="1" applyBorder="1" applyAlignment="1">
      <alignment horizontal="center"/>
    </xf>
    <xf numFmtId="0" fontId="4" fillId="0" borderId="128" xfId="0" applyFont="1" applyBorder="1"/>
    <xf numFmtId="0" fontId="4" fillId="0" borderId="129" xfId="0" applyFont="1" applyBorder="1"/>
    <xf numFmtId="0" fontId="5" fillId="0" borderId="41" xfId="0" applyFont="1" applyFill="1" applyBorder="1"/>
    <xf numFmtId="3" fontId="4" fillId="0" borderId="17" xfId="82" applyNumberFormat="1" applyFont="1" applyBorder="1" applyAlignment="1">
      <alignment horizontal="right"/>
    </xf>
    <xf numFmtId="0" fontId="4" fillId="24" borderId="25" xfId="0" applyFont="1" applyFill="1" applyBorder="1"/>
    <xf numFmtId="0" fontId="4" fillId="24" borderId="15" xfId="0" applyFont="1" applyFill="1" applyBorder="1"/>
    <xf numFmtId="3" fontId="4" fillId="24" borderId="33" xfId="82" applyNumberFormat="1" applyFont="1" applyFill="1" applyBorder="1" applyAlignment="1">
      <alignment horizontal="center"/>
    </xf>
    <xf numFmtId="3" fontId="4" fillId="24" borderId="26" xfId="82" applyNumberFormat="1" applyFont="1" applyFill="1" applyBorder="1" applyAlignment="1">
      <alignment horizontal="center"/>
    </xf>
    <xf numFmtId="0" fontId="4" fillId="58" borderId="26" xfId="0" applyFont="1" applyFill="1" applyBorder="1"/>
    <xf numFmtId="3" fontId="4" fillId="58" borderId="26" xfId="0" applyNumberFormat="1" applyFont="1" applyFill="1" applyBorder="1" applyAlignment="1">
      <alignment horizontal="center"/>
    </xf>
    <xf numFmtId="0" fontId="4" fillId="58" borderId="26" xfId="0" applyFont="1" applyFill="1" applyBorder="1" applyAlignment="1">
      <alignment horizontal="center"/>
    </xf>
    <xf numFmtId="0" fontId="4" fillId="58" borderId="64" xfId="0" applyFont="1" applyFill="1" applyBorder="1" applyAlignment="1">
      <alignment horizontal="center"/>
    </xf>
    <xf numFmtId="3" fontId="4" fillId="58" borderId="62" xfId="0" applyNumberFormat="1" applyFont="1" applyFill="1" applyBorder="1"/>
    <xf numFmtId="3" fontId="3" fillId="58" borderId="64" xfId="0" applyNumberFormat="1" applyFont="1" applyFill="1" applyBorder="1" applyAlignment="1">
      <alignment horizontal="right"/>
    </xf>
    <xf numFmtId="0" fontId="4" fillId="58" borderId="62" xfId="0" applyNumberFormat="1" applyFont="1" applyFill="1" applyBorder="1" applyAlignment="1">
      <alignment horizontal="right"/>
    </xf>
    <xf numFmtId="1" fontId="3" fillId="58" borderId="64" xfId="0" applyNumberFormat="1" applyFont="1" applyFill="1" applyBorder="1" applyAlignment="1">
      <alignment horizontal="right"/>
    </xf>
    <xf numFmtId="3" fontId="4" fillId="58" borderId="30" xfId="82" applyNumberFormat="1" applyFont="1" applyFill="1" applyBorder="1" applyAlignment="1">
      <alignment horizontal="right"/>
    </xf>
    <xf numFmtId="3" fontId="4" fillId="58" borderId="64" xfId="82" applyNumberFormat="1" applyFont="1" applyFill="1" applyBorder="1" applyAlignment="1">
      <alignment horizontal="right"/>
    </xf>
    <xf numFmtId="3" fontId="4" fillId="58" borderId="26" xfId="82" applyNumberFormat="1" applyFont="1" applyFill="1" applyBorder="1" applyAlignment="1">
      <alignment horizontal="right"/>
    </xf>
    <xf numFmtId="3" fontId="4" fillId="58" borderId="118" xfId="82" applyNumberFormat="1" applyFont="1" applyFill="1" applyBorder="1" applyAlignment="1">
      <alignment horizontal="right"/>
    </xf>
    <xf numFmtId="3" fontId="4" fillId="58" borderId="68" xfId="82" applyNumberFormat="1" applyFont="1" applyFill="1" applyBorder="1" applyAlignment="1">
      <alignment horizontal="right"/>
    </xf>
    <xf numFmtId="0" fontId="4" fillId="58" borderId="56" xfId="0" applyFont="1" applyFill="1" applyBorder="1" applyAlignment="1">
      <alignment horizontal="right"/>
    </xf>
    <xf numFmtId="3" fontId="4" fillId="58" borderId="55" xfId="82" applyNumberFormat="1" applyFont="1" applyFill="1" applyBorder="1" applyAlignment="1">
      <alignment horizontal="right"/>
    </xf>
    <xf numFmtId="3" fontId="4" fillId="58" borderId="56" xfId="0" applyNumberFormat="1" applyFont="1" applyFill="1" applyBorder="1" applyAlignment="1">
      <alignment horizontal="right"/>
    </xf>
    <xf numFmtId="3" fontId="3" fillId="58" borderId="64" xfId="82" applyNumberFormat="1" applyFont="1" applyFill="1" applyBorder="1" applyAlignment="1">
      <alignment horizontal="right"/>
    </xf>
    <xf numFmtId="3" fontId="4" fillId="0" borderId="26" xfId="0" applyNumberFormat="1" applyFont="1" applyFill="1" applyBorder="1"/>
    <xf numFmtId="0" fontId="3" fillId="0" borderId="129" xfId="0" applyFont="1" applyBorder="1" applyAlignment="1">
      <alignment horizontal="center"/>
    </xf>
    <xf numFmtId="0" fontId="3" fillId="0" borderId="13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5" fontId="4" fillId="58" borderId="62" xfId="0" applyNumberFormat="1" applyFont="1" applyFill="1" applyBorder="1" applyAlignment="1">
      <alignment horizontal="center"/>
    </xf>
    <xf numFmtId="0" fontId="4" fillId="58" borderId="61" xfId="0" applyNumberFormat="1" applyFont="1" applyFill="1" applyBorder="1"/>
    <xf numFmtId="170" fontId="4" fillId="58" borderId="62" xfId="0" applyNumberFormat="1" applyFont="1" applyFill="1" applyBorder="1" applyAlignment="1">
      <alignment horizontal="right"/>
    </xf>
    <xf numFmtId="1" fontId="4" fillId="58" borderId="69" xfId="0" applyNumberFormat="1" applyFont="1" applyFill="1" applyBorder="1"/>
    <xf numFmtId="170" fontId="4" fillId="58" borderId="70" xfId="0" applyNumberFormat="1" applyFont="1" applyFill="1" applyBorder="1" applyAlignment="1">
      <alignment horizontal="right"/>
    </xf>
    <xf numFmtId="170" fontId="11" fillId="58" borderId="62" xfId="0" applyNumberFormat="1" applyFont="1" applyFill="1" applyBorder="1"/>
    <xf numFmtId="170" fontId="11" fillId="58" borderId="64" xfId="0" applyNumberFormat="1" applyFont="1" applyFill="1" applyBorder="1" applyAlignment="1" applyProtection="1"/>
    <xf numFmtId="0" fontId="0" fillId="0" borderId="9" xfId="0" applyBorder="1"/>
    <xf numFmtId="0" fontId="14" fillId="0" borderId="0" xfId="0" applyFont="1" applyBorder="1"/>
    <xf numFmtId="1" fontId="4" fillId="24" borderId="105" xfId="0" applyNumberFormat="1" applyFont="1" applyFill="1" applyBorder="1"/>
    <xf numFmtId="1" fontId="4" fillId="0" borderId="85" xfId="0" applyNumberFormat="1" applyFont="1" applyFill="1" applyBorder="1"/>
    <xf numFmtId="1" fontId="4" fillId="24" borderId="80" xfId="0" applyNumberFormat="1" applyFont="1" applyFill="1" applyBorder="1"/>
    <xf numFmtId="1" fontId="4" fillId="0" borderId="0" xfId="0" applyNumberFormat="1" applyFont="1" applyFill="1" applyBorder="1"/>
    <xf numFmtId="0" fontId="4" fillId="24" borderId="80" xfId="0" applyFont="1" applyFill="1" applyBorder="1"/>
    <xf numFmtId="3" fontId="4" fillId="24" borderId="72" xfId="0" applyNumberFormat="1" applyFont="1" applyFill="1" applyBorder="1"/>
    <xf numFmtId="3" fontId="4" fillId="24" borderId="0" xfId="0" applyNumberFormat="1" applyFont="1" applyFill="1"/>
    <xf numFmtId="3" fontId="4" fillId="24" borderId="72" xfId="127" applyNumberFormat="1" applyFont="1" applyFill="1" applyBorder="1" applyAlignment="1">
      <alignment horizontal="right"/>
    </xf>
    <xf numFmtId="3" fontId="4" fillId="24" borderId="0" xfId="127" applyNumberFormat="1" applyFont="1" applyFill="1" applyBorder="1" applyAlignment="1">
      <alignment horizontal="right"/>
    </xf>
    <xf numFmtId="0" fontId="3" fillId="0" borderId="71" xfId="127" applyFont="1" applyBorder="1" applyAlignment="1">
      <alignment horizontal="center"/>
    </xf>
    <xf numFmtId="169" fontId="4" fillId="0" borderId="82" xfId="0" applyNumberFormat="1" applyFont="1" applyBorder="1" applyAlignment="1">
      <alignment horizontal="center"/>
    </xf>
    <xf numFmtId="2" fontId="4" fillId="0" borderId="105" xfId="134" applyNumberFormat="1" applyFont="1" applyFill="1" applyBorder="1" applyAlignment="1">
      <alignment horizontal="center"/>
    </xf>
    <xf numFmtId="1" fontId="4" fillId="0" borderId="126" xfId="134" applyNumberFormat="1" applyFont="1" applyFill="1" applyBorder="1" applyAlignment="1">
      <alignment horizontal="center"/>
    </xf>
    <xf numFmtId="2" fontId="4" fillId="0" borderId="80" xfId="134" applyNumberFormat="1" applyFont="1" applyFill="1" applyBorder="1" applyAlignment="1">
      <alignment horizontal="center"/>
    </xf>
    <xf numFmtId="1" fontId="4" fillId="0" borderId="71" xfId="134" applyNumberFormat="1" applyFont="1" applyFill="1" applyBorder="1" applyAlignment="1">
      <alignment horizontal="center"/>
    </xf>
    <xf numFmtId="3" fontId="4" fillId="0" borderId="127" xfId="82" applyNumberFormat="1" applyFont="1" applyBorder="1" applyAlignment="1">
      <alignment horizontal="center"/>
    </xf>
    <xf numFmtId="166" fontId="4" fillId="0" borderId="0" xfId="134" applyNumberFormat="1" applyFont="1" applyFill="1" applyBorder="1" applyAlignment="1">
      <alignment horizontal="center"/>
    </xf>
    <xf numFmtId="166" fontId="4" fillId="0" borderId="95" xfId="134" applyNumberFormat="1" applyFont="1" applyFill="1" applyBorder="1" applyAlignment="1">
      <alignment horizontal="center"/>
    </xf>
    <xf numFmtId="166" fontId="4" fillId="0" borderId="113" xfId="134" applyNumberFormat="1" applyFont="1" applyFill="1" applyBorder="1" applyAlignment="1">
      <alignment horizontal="right"/>
    </xf>
    <xf numFmtId="0" fontId="4" fillId="0" borderId="31" xfId="0" applyFont="1" applyBorder="1" applyAlignment="1">
      <alignment horizontal="right"/>
    </xf>
    <xf numFmtId="166" fontId="4" fillId="0" borderId="82" xfId="134" applyNumberFormat="1" applyFont="1" applyFill="1" applyBorder="1" applyAlignment="1">
      <alignment horizontal="right"/>
    </xf>
    <xf numFmtId="3" fontId="4" fillId="0" borderId="25" xfId="82" applyNumberFormat="1" applyFont="1" applyBorder="1" applyAlignment="1">
      <alignment horizontal="right"/>
    </xf>
    <xf numFmtId="3" fontId="3" fillId="0" borderId="25" xfId="0" applyNumberFormat="1" applyFont="1" applyBorder="1" applyAlignment="1">
      <alignment horizontal="right"/>
    </xf>
    <xf numFmtId="0" fontId="4" fillId="0" borderId="131" xfId="0" applyFont="1" applyBorder="1"/>
    <xf numFmtId="166" fontId="3" fillId="0" borderId="82" xfId="134" applyNumberFormat="1" applyFont="1" applyFill="1" applyBorder="1" applyAlignment="1">
      <alignment horizontal="right"/>
    </xf>
    <xf numFmtId="166" fontId="3" fillId="0" borderId="25" xfId="0" applyNumberFormat="1" applyFont="1" applyFill="1" applyBorder="1" applyAlignment="1">
      <alignment horizontal="right"/>
    </xf>
    <xf numFmtId="0" fontId="3" fillId="0" borderId="93" xfId="0" applyFont="1" applyFill="1" applyBorder="1" applyAlignment="1">
      <alignment horizontal="center"/>
    </xf>
    <xf numFmtId="1" fontId="3" fillId="0" borderId="100" xfId="0" applyNumberFormat="1" applyFont="1" applyBorder="1" applyAlignment="1">
      <alignment horizontal="right"/>
    </xf>
    <xf numFmtId="3" fontId="3" fillId="0" borderId="102" xfId="0" applyNumberFormat="1" applyFont="1" applyFill="1" applyBorder="1" applyAlignment="1">
      <alignment horizontal="right"/>
    </xf>
    <xf numFmtId="1" fontId="4" fillId="0" borderId="100" xfId="0" applyNumberFormat="1" applyFont="1" applyBorder="1" applyAlignment="1">
      <alignment horizontal="right"/>
    </xf>
    <xf numFmtId="0" fontId="4" fillId="0" borderId="111" xfId="0" applyFont="1" applyBorder="1" applyAlignment="1">
      <alignment horizontal="right"/>
    </xf>
    <xf numFmtId="0" fontId="5" fillId="0" borderId="11" xfId="0" applyFont="1" applyBorder="1"/>
    <xf numFmtId="3" fontId="4" fillId="0" borderId="79" xfId="82" applyNumberFormat="1" applyFont="1" applyFill="1" applyBorder="1" applyAlignment="1">
      <alignment horizontal="right"/>
    </xf>
    <xf numFmtId="0" fontId="4" fillId="0" borderId="100" xfId="0" applyFont="1" applyBorder="1"/>
    <xf numFmtId="0" fontId="4" fillId="0" borderId="100" xfId="0" applyFont="1" applyFill="1" applyBorder="1"/>
    <xf numFmtId="5" fontId="4" fillId="0" borderId="0" xfId="0" applyNumberFormat="1" applyFont="1" applyBorder="1" applyAlignment="1">
      <alignment horizontal="right"/>
    </xf>
    <xf numFmtId="164" fontId="4" fillId="0" borderId="102" xfId="0" applyNumberFormat="1" applyFont="1" applyBorder="1"/>
    <xf numFmtId="1" fontId="4" fillId="0" borderId="53" xfId="0" applyNumberFormat="1" applyFont="1" applyBorder="1" applyAlignment="1">
      <alignment horizontal="center"/>
    </xf>
    <xf numFmtId="164" fontId="4" fillId="24" borderId="102" xfId="86" applyNumberFormat="1" applyFont="1" applyFill="1" applyBorder="1" applyAlignment="1">
      <alignment horizontal="right"/>
    </xf>
    <xf numFmtId="164" fontId="4" fillId="0" borderId="64" xfId="86" applyNumberFormat="1" applyFont="1" applyBorder="1" applyAlignment="1">
      <alignment horizontal="right"/>
    </xf>
    <xf numFmtId="164" fontId="4" fillId="0" borderId="100" xfId="0" applyNumberFormat="1" applyFont="1" applyBorder="1"/>
    <xf numFmtId="1" fontId="4" fillId="0" borderId="32" xfId="0" applyNumberFormat="1" applyFont="1" applyBorder="1" applyAlignment="1">
      <alignment horizontal="center"/>
    </xf>
    <xf numFmtId="170" fontId="4" fillId="24" borderId="80" xfId="0" applyNumberFormat="1" applyFont="1" applyFill="1" applyBorder="1"/>
    <xf numFmtId="170" fontId="4" fillId="0" borderId="32" xfId="0" applyNumberFormat="1" applyFont="1" applyFill="1" applyBorder="1"/>
    <xf numFmtId="170" fontId="4" fillId="0" borderId="72" xfId="0" applyNumberFormat="1" applyFont="1" applyFill="1" applyBorder="1"/>
    <xf numFmtId="170" fontId="4" fillId="0" borderId="59" xfId="0" applyNumberFormat="1" applyFont="1" applyFill="1" applyBorder="1"/>
    <xf numFmtId="170" fontId="4" fillId="0" borderId="0" xfId="0" applyNumberFormat="1" applyFont="1" applyBorder="1"/>
    <xf numFmtId="170" fontId="4" fillId="0" borderId="0" xfId="0" applyNumberFormat="1" applyFont="1" applyFill="1"/>
    <xf numFmtId="164" fontId="4" fillId="0" borderId="32" xfId="0" applyNumberFormat="1" applyFont="1" applyFill="1" applyBorder="1"/>
    <xf numFmtId="170" fontId="4" fillId="0" borderId="72" xfId="0" applyNumberFormat="1" applyFont="1" applyBorder="1"/>
    <xf numFmtId="164" fontId="4" fillId="0" borderId="80" xfId="0" applyNumberFormat="1" applyFont="1" applyBorder="1"/>
    <xf numFmtId="1" fontId="4" fillId="0" borderId="0" xfId="0" applyNumberFormat="1" applyFont="1" applyBorder="1" applyAlignment="1">
      <alignment horizontal="center"/>
    </xf>
    <xf numFmtId="0" fontId="4" fillId="0" borderId="80" xfId="0" applyFont="1" applyFill="1" applyBorder="1" applyAlignment="1">
      <alignment horizontal="center"/>
    </xf>
    <xf numFmtId="0" fontId="4" fillId="0" borderId="78" xfId="0" applyFont="1" applyFill="1" applyBorder="1" applyAlignment="1">
      <alignment horizontal="center"/>
    </xf>
    <xf numFmtId="164" fontId="4" fillId="0" borderId="106" xfId="0" applyNumberFormat="1" applyFont="1" applyBorder="1"/>
    <xf numFmtId="1" fontId="4" fillId="0" borderId="44" xfId="0" applyNumberFormat="1" applyFont="1" applyBorder="1" applyAlignment="1">
      <alignment horizontal="center"/>
    </xf>
    <xf numFmtId="171" fontId="4" fillId="24" borderId="106" xfId="0" applyNumberFormat="1" applyFont="1" applyFill="1" applyBorder="1" applyAlignment="1">
      <alignment horizontal="center"/>
    </xf>
    <xf numFmtId="164" fontId="4" fillId="24" borderId="44" xfId="0" applyNumberFormat="1" applyFont="1" applyFill="1" applyBorder="1"/>
    <xf numFmtId="173" fontId="4" fillId="0" borderId="70" xfId="0" applyNumberFormat="1" applyFont="1" applyFill="1" applyBorder="1" applyAlignment="1">
      <alignment horizontal="right"/>
    </xf>
    <xf numFmtId="170" fontId="4" fillId="0" borderId="44" xfId="0" applyNumberFormat="1" applyFont="1" applyBorder="1" applyAlignment="1">
      <alignment horizontal="center"/>
    </xf>
    <xf numFmtId="5" fontId="4" fillId="0" borderId="70" xfId="0" applyNumberFormat="1" applyFont="1" applyBorder="1" applyAlignment="1"/>
    <xf numFmtId="0" fontId="4" fillId="24" borderId="104" xfId="0" applyNumberFormat="1" applyFont="1" applyFill="1" applyBorder="1"/>
    <xf numFmtId="164" fontId="4" fillId="24" borderId="35" xfId="0" applyNumberFormat="1" applyFont="1" applyFill="1" applyBorder="1"/>
    <xf numFmtId="1" fontId="4" fillId="0" borderId="67" xfId="0" applyNumberFormat="1" applyFont="1" applyFill="1" applyBorder="1" applyAlignment="1">
      <alignment horizontal="center"/>
    </xf>
    <xf numFmtId="170" fontId="4" fillId="0" borderId="35" xfId="0" applyNumberFormat="1" applyFont="1" applyFill="1" applyBorder="1"/>
    <xf numFmtId="0" fontId="4" fillId="0" borderId="68" xfId="0" applyNumberFormat="1" applyFont="1" applyFill="1" applyBorder="1"/>
    <xf numFmtId="0" fontId="4" fillId="0" borderId="35" xfId="0" applyNumberFormat="1" applyFont="1" applyBorder="1"/>
    <xf numFmtId="1" fontId="4" fillId="0" borderId="35" xfId="0" applyNumberFormat="1" applyFont="1" applyBorder="1" applyAlignment="1">
      <alignment horizontal="center"/>
    </xf>
    <xf numFmtId="0" fontId="4" fillId="0" borderId="68" xfId="0" applyNumberFormat="1" applyFont="1" applyBorder="1" applyAlignment="1">
      <alignment horizontal="right"/>
    </xf>
    <xf numFmtId="1" fontId="4" fillId="0" borderId="33" xfId="0" applyNumberFormat="1" applyFont="1" applyBorder="1" applyAlignment="1">
      <alignment horizontal="center"/>
    </xf>
    <xf numFmtId="0" fontId="4" fillId="24" borderId="79" xfId="0" applyNumberFormat="1" applyFont="1" applyFill="1" applyBorder="1"/>
    <xf numFmtId="1" fontId="4" fillId="0" borderId="61" xfId="0" applyNumberFormat="1" applyFont="1" applyFill="1" applyBorder="1" applyAlignment="1">
      <alignment horizontal="center"/>
    </xf>
    <xf numFmtId="170" fontId="4" fillId="0" borderId="33" xfId="0" applyNumberFormat="1" applyFont="1" applyFill="1" applyBorder="1"/>
    <xf numFmtId="170" fontId="4" fillId="0" borderId="33" xfId="0" applyNumberFormat="1" applyFont="1" applyBorder="1"/>
    <xf numFmtId="0" fontId="0" fillId="0" borderId="131" xfId="0" applyBorder="1"/>
    <xf numFmtId="0" fontId="4" fillId="0" borderId="35" xfId="0" applyFont="1" applyBorder="1"/>
    <xf numFmtId="170" fontId="4" fillId="24" borderId="106" xfId="0" applyNumberFormat="1" applyFont="1" applyFill="1" applyBorder="1" applyAlignment="1">
      <alignment horizontal="center"/>
    </xf>
    <xf numFmtId="170" fontId="4" fillId="0" borderId="44" xfId="0" applyNumberFormat="1" applyFont="1" applyFill="1" applyBorder="1"/>
    <xf numFmtId="164" fontId="4" fillId="25" borderId="44" xfId="86" applyNumberFormat="1" applyFont="1" applyFill="1" applyBorder="1" applyAlignment="1">
      <alignment horizontal="right"/>
    </xf>
    <xf numFmtId="164" fontId="4" fillId="0" borderId="69" xfId="0" applyNumberFormat="1" applyFont="1" applyFill="1" applyBorder="1" applyAlignment="1">
      <alignment horizontal="right"/>
    </xf>
    <xf numFmtId="164" fontId="4" fillId="0" borderId="44" xfId="86" applyNumberFormat="1" applyFont="1" applyFill="1" applyBorder="1" applyAlignment="1">
      <alignment horizontal="right"/>
    </xf>
    <xf numFmtId="164" fontId="4" fillId="0" borderId="44" xfId="0" applyNumberFormat="1" applyFont="1" applyFill="1" applyBorder="1" applyAlignment="1">
      <alignment horizontal="right"/>
    </xf>
    <xf numFmtId="5" fontId="4" fillId="0" borderId="70" xfId="0" applyNumberFormat="1" applyFont="1" applyFill="1" applyBorder="1" applyAlignment="1">
      <alignment horizontal="right"/>
    </xf>
    <xf numFmtId="0" fontId="4" fillId="0" borderId="90" xfId="0" applyFont="1" applyBorder="1"/>
    <xf numFmtId="170" fontId="4" fillId="24" borderId="104" xfId="0" applyNumberFormat="1" applyFont="1" applyFill="1" applyBorder="1" applyAlignment="1">
      <alignment horizontal="center"/>
    </xf>
    <xf numFmtId="164" fontId="4" fillId="25" borderId="35" xfId="86" applyNumberFormat="1" applyFont="1" applyFill="1" applyBorder="1" applyAlignment="1">
      <alignment horizontal="right"/>
    </xf>
    <xf numFmtId="164" fontId="4" fillId="0" borderId="35" xfId="86" applyNumberFormat="1" applyFont="1" applyFill="1" applyBorder="1" applyAlignment="1">
      <alignment horizontal="right"/>
    </xf>
    <xf numFmtId="164" fontId="4" fillId="0" borderId="68" xfId="86" applyNumberFormat="1" applyFont="1" applyFill="1" applyBorder="1" applyAlignment="1">
      <alignment horizontal="right"/>
    </xf>
    <xf numFmtId="0" fontId="4" fillId="0" borderId="78" xfId="0" applyFont="1" applyFill="1" applyBorder="1"/>
    <xf numFmtId="0" fontId="4" fillId="0" borderId="44" xfId="0" applyFont="1" applyBorder="1"/>
    <xf numFmtId="168" fontId="3" fillId="0" borderId="79" xfId="82" applyNumberFormat="1" applyFont="1" applyFill="1" applyBorder="1"/>
    <xf numFmtId="0" fontId="3" fillId="0" borderId="90" xfId="0" applyFont="1" applyBorder="1" applyAlignment="1">
      <alignment horizontal="left" indent="1"/>
    </xf>
    <xf numFmtId="168" fontId="4" fillId="0" borderId="79" xfId="82" applyNumberFormat="1" applyFont="1" applyFill="1" applyBorder="1"/>
    <xf numFmtId="168" fontId="4" fillId="0" borderId="100" xfId="82" applyNumberFormat="1" applyFont="1" applyFill="1" applyBorder="1"/>
    <xf numFmtId="0" fontId="3" fillId="0" borderId="132" xfId="0" applyFont="1" applyBorder="1"/>
    <xf numFmtId="3" fontId="3" fillId="0" borderId="47" xfId="0" applyNumberFormat="1" applyFont="1" applyFill="1" applyBorder="1"/>
    <xf numFmtId="166" fontId="4" fillId="0" borderId="47" xfId="127" applyNumberFormat="1" applyFont="1" applyBorder="1"/>
    <xf numFmtId="1" fontId="4" fillId="0" borderId="45" xfId="0" applyNumberFormat="1" applyFont="1" applyBorder="1"/>
    <xf numFmtId="166" fontId="4" fillId="0" borderId="79" xfId="136" applyNumberFormat="1" applyFont="1" applyFill="1" applyBorder="1"/>
    <xf numFmtId="166" fontId="4" fillId="0" borderId="100" xfId="136" applyNumberFormat="1" applyFont="1" applyFill="1" applyBorder="1"/>
    <xf numFmtId="0" fontId="0" fillId="0" borderId="47" xfId="0" applyBorder="1" applyAlignment="1">
      <alignment horizontal="center"/>
    </xf>
    <xf numFmtId="0" fontId="4" fillId="0" borderId="36" xfId="0" applyFont="1" applyBorder="1"/>
    <xf numFmtId="3" fontId="3" fillId="58" borderId="102" xfId="0" applyNumberFormat="1" applyFont="1" applyFill="1" applyBorder="1"/>
    <xf numFmtId="3" fontId="3" fillId="0" borderId="64" xfId="0" applyNumberFormat="1" applyFont="1" applyFill="1" applyBorder="1"/>
    <xf numFmtId="3" fontId="3" fillId="0" borderId="36" xfId="0" applyNumberFormat="1" applyFont="1" applyFill="1" applyBorder="1"/>
    <xf numFmtId="3" fontId="3" fillId="0" borderId="33" xfId="0" applyNumberFormat="1" applyFont="1" applyBorder="1"/>
    <xf numFmtId="3" fontId="3" fillId="0" borderId="64" xfId="0" applyNumberFormat="1" applyFont="1" applyBorder="1"/>
    <xf numFmtId="3" fontId="4" fillId="58" borderId="79" xfId="0" applyNumberFormat="1" applyFont="1" applyFill="1" applyBorder="1"/>
    <xf numFmtId="3" fontId="4" fillId="58" borderId="79" xfId="82" applyNumberFormat="1" applyFont="1" applyFill="1" applyBorder="1" applyAlignment="1">
      <alignment horizontal="right"/>
    </xf>
    <xf numFmtId="1" fontId="0" fillId="0" borderId="0" xfId="0" applyNumberFormat="1" applyBorder="1" applyAlignment="1">
      <alignment horizontal="center"/>
    </xf>
    <xf numFmtId="0" fontId="4" fillId="0" borderId="79" xfId="0" applyFont="1" applyFill="1" applyBorder="1"/>
    <xf numFmtId="1" fontId="4" fillId="0" borderId="0" xfId="0" applyNumberFormat="1" applyFont="1" applyFill="1" applyBorder="1" applyAlignment="1">
      <alignment horizontal="right"/>
    </xf>
    <xf numFmtId="0" fontId="4" fillId="0" borderId="9" xfId="0" applyFont="1" applyFill="1" applyBorder="1" applyAlignment="1">
      <alignment horizontal="right"/>
    </xf>
    <xf numFmtId="0" fontId="9" fillId="0" borderId="9" xfId="0" applyFont="1" applyFill="1" applyBorder="1" applyAlignment="1">
      <alignment horizontal="left"/>
    </xf>
    <xf numFmtId="1" fontId="0" fillId="0" borderId="0" xfId="0" applyNumberFormat="1"/>
    <xf numFmtId="1" fontId="4" fillId="0" borderId="102" xfId="0" applyNumberFormat="1" applyFont="1" applyFill="1" applyBorder="1"/>
    <xf numFmtId="1" fontId="4" fillId="58" borderId="113" xfId="0" applyNumberFormat="1" applyFont="1" applyFill="1" applyBorder="1" applyAlignment="1">
      <alignment horizontal="right"/>
    </xf>
    <xf numFmtId="1" fontId="4" fillId="0" borderId="74" xfId="0" applyNumberFormat="1" applyFont="1" applyFill="1" applyBorder="1"/>
    <xf numFmtId="1" fontId="4" fillId="0" borderId="56" xfId="0" applyNumberFormat="1" applyFont="1" applyFill="1" applyBorder="1" applyAlignment="1">
      <alignment horizontal="right"/>
    </xf>
    <xf numFmtId="1" fontId="4" fillId="0" borderId="31" xfId="0" applyNumberFormat="1" applyFont="1" applyFill="1" applyBorder="1"/>
    <xf numFmtId="1" fontId="4" fillId="0" borderId="73" xfId="0" applyNumberFormat="1" applyFont="1" applyFill="1" applyBorder="1" applyAlignment="1">
      <alignment horizontal="right"/>
    </xf>
    <xf numFmtId="1" fontId="4" fillId="0" borderId="74" xfId="0" applyNumberFormat="1" applyFont="1" applyFill="1" applyBorder="1" applyAlignment="1">
      <alignment horizontal="right"/>
    </xf>
    <xf numFmtId="1" fontId="4" fillId="24" borderId="31" xfId="0" applyNumberFormat="1" applyFont="1" applyFill="1" applyBorder="1" applyAlignment="1">
      <alignment horizontal="right"/>
    </xf>
    <xf numFmtId="1" fontId="4" fillId="0" borderId="73" xfId="0" applyNumberFormat="1" applyFont="1" applyBorder="1" applyAlignment="1">
      <alignment horizontal="right"/>
    </xf>
    <xf numFmtId="1" fontId="4" fillId="24" borderId="36" xfId="0" applyNumberFormat="1" applyFont="1" applyFill="1" applyBorder="1" applyAlignment="1">
      <alignment horizontal="right"/>
    </xf>
    <xf numFmtId="1" fontId="4" fillId="0" borderId="56" xfId="0" applyNumberFormat="1" applyFont="1" applyBorder="1" applyAlignment="1">
      <alignment horizontal="right"/>
    </xf>
    <xf numFmtId="1" fontId="4" fillId="0" borderId="74" xfId="0" applyNumberFormat="1" applyFont="1" applyBorder="1" applyAlignment="1">
      <alignment horizontal="right"/>
    </xf>
    <xf numFmtId="1" fontId="4" fillId="0" borderId="43" xfId="0" applyNumberFormat="1" applyFont="1" applyBorder="1" applyAlignment="1">
      <alignment horizontal="right"/>
    </xf>
    <xf numFmtId="1" fontId="4" fillId="0" borderId="0" xfId="0" applyNumberFormat="1" applyFont="1"/>
    <xf numFmtId="1" fontId="4" fillId="0" borderId="79" xfId="0" applyNumberFormat="1" applyFont="1" applyFill="1" applyBorder="1"/>
    <xf numFmtId="1" fontId="4" fillId="58" borderId="82" xfId="0" applyNumberFormat="1" applyFont="1" applyFill="1" applyBorder="1" applyAlignment="1">
      <alignment horizontal="right"/>
    </xf>
    <xf numFmtId="1" fontId="4" fillId="0" borderId="26" xfId="0" applyNumberFormat="1" applyFont="1" applyFill="1" applyBorder="1" applyAlignment="1">
      <alignment horizontal="right"/>
    </xf>
    <xf numFmtId="1" fontId="4" fillId="0" borderId="13" xfId="0" applyNumberFormat="1" applyFont="1" applyFill="1" applyBorder="1" applyAlignment="1">
      <alignment horizontal="right"/>
    </xf>
    <xf numFmtId="1" fontId="4" fillId="0" borderId="71" xfId="0" applyNumberFormat="1" applyFont="1" applyBorder="1" applyAlignment="1">
      <alignment horizontal="right"/>
    </xf>
    <xf numFmtId="1" fontId="4" fillId="0" borderId="13" xfId="0" applyNumberFormat="1" applyFont="1" applyBorder="1" applyAlignment="1">
      <alignment horizontal="right"/>
    </xf>
    <xf numFmtId="1" fontId="4" fillId="0" borderId="33" xfId="0" applyNumberFormat="1" applyFont="1" applyBorder="1" applyAlignment="1">
      <alignment horizontal="right"/>
    </xf>
    <xf numFmtId="1" fontId="4" fillId="0" borderId="26" xfId="0" applyNumberFormat="1" applyFont="1" applyBorder="1" applyAlignment="1">
      <alignment horizontal="right"/>
    </xf>
    <xf numFmtId="1" fontId="4" fillId="0" borderId="15" xfId="0" applyNumberFormat="1" applyFont="1" applyBorder="1" applyAlignment="1">
      <alignment horizontal="right"/>
    </xf>
    <xf numFmtId="1" fontId="5" fillId="0" borderId="42" xfId="0" applyNumberFormat="1" applyFont="1" applyFill="1" applyBorder="1" applyAlignment="1">
      <alignment horizontal="left"/>
    </xf>
    <xf numFmtId="1" fontId="4" fillId="58" borderId="121" xfId="0" applyNumberFormat="1" applyFont="1" applyFill="1" applyBorder="1" applyAlignment="1">
      <alignment horizontal="right"/>
    </xf>
    <xf numFmtId="1" fontId="4" fillId="0" borderId="15" xfId="0" applyNumberFormat="1" applyFont="1" applyFill="1" applyBorder="1"/>
    <xf numFmtId="1" fontId="4" fillId="0" borderId="55" xfId="0" applyNumberFormat="1" applyFont="1" applyFill="1" applyBorder="1" applyAlignment="1">
      <alignment horizontal="right"/>
    </xf>
    <xf numFmtId="1" fontId="4" fillId="0" borderId="25" xfId="0" applyNumberFormat="1" applyFont="1" applyFill="1" applyBorder="1"/>
    <xf numFmtId="1" fontId="4" fillId="0" borderId="94" xfId="0" applyNumberFormat="1" applyFont="1" applyFill="1" applyBorder="1" applyAlignment="1">
      <alignment horizontal="right"/>
    </xf>
    <xf numFmtId="1" fontId="4" fillId="0" borderId="15" xfId="0" applyNumberFormat="1" applyFont="1" applyFill="1" applyBorder="1" applyAlignment="1">
      <alignment horizontal="right"/>
    </xf>
    <xf numFmtId="1" fontId="4" fillId="0" borderId="25" xfId="0" applyNumberFormat="1" applyFont="1" applyBorder="1" applyAlignment="1">
      <alignment horizontal="right"/>
    </xf>
    <xf numFmtId="1" fontId="4" fillId="0" borderId="94" xfId="0" applyNumberFormat="1" applyFont="1" applyBorder="1" applyAlignment="1">
      <alignment horizontal="right"/>
    </xf>
    <xf numFmtId="1" fontId="4" fillId="0" borderId="77" xfId="0" applyNumberFormat="1" applyFont="1" applyBorder="1" applyAlignment="1">
      <alignment horizontal="right"/>
    </xf>
    <xf numFmtId="1" fontId="4" fillId="0" borderId="55" xfId="0" applyNumberFormat="1" applyFont="1" applyBorder="1" applyAlignment="1">
      <alignment horizontal="right"/>
    </xf>
    <xf numFmtId="1" fontId="4" fillId="0" borderId="51" xfId="0" applyNumberFormat="1" applyFont="1" applyBorder="1" applyAlignment="1">
      <alignment horizontal="right"/>
    </xf>
    <xf numFmtId="1" fontId="4" fillId="0" borderId="76" xfId="0" applyNumberFormat="1" applyFont="1" applyFill="1" applyBorder="1" applyAlignment="1">
      <alignment horizontal="right"/>
    </xf>
    <xf numFmtId="1" fontId="4" fillId="24" borderId="76" xfId="0" applyNumberFormat="1" applyFont="1" applyFill="1" applyBorder="1" applyAlignment="1">
      <alignment horizontal="right"/>
    </xf>
    <xf numFmtId="1" fontId="4" fillId="24" borderId="71" xfId="0" applyNumberFormat="1" applyFont="1" applyFill="1" applyBorder="1"/>
    <xf numFmtId="1" fontId="4" fillId="24" borderId="116" xfId="0" applyNumberFormat="1" applyFont="1" applyFill="1" applyBorder="1" applyAlignment="1">
      <alignment horizontal="right"/>
    </xf>
    <xf numFmtId="1" fontId="4" fillId="24" borderId="0" xfId="0" applyNumberFormat="1" applyFont="1" applyFill="1" applyBorder="1" applyAlignment="1">
      <alignment horizontal="right"/>
    </xf>
    <xf numFmtId="1" fontId="4" fillId="24" borderId="71" xfId="0" applyNumberFormat="1" applyFont="1" applyFill="1" applyBorder="1" applyAlignment="1">
      <alignment horizontal="right"/>
    </xf>
    <xf numFmtId="1" fontId="4" fillId="0" borderId="51" xfId="0" applyNumberFormat="1" applyFont="1" applyFill="1" applyBorder="1" applyAlignment="1">
      <alignment horizontal="right"/>
    </xf>
    <xf numFmtId="1" fontId="4" fillId="0" borderId="33" xfId="0" applyNumberFormat="1" applyFont="1" applyFill="1" applyBorder="1"/>
    <xf numFmtId="1" fontId="4" fillId="0" borderId="61" xfId="0" applyNumberFormat="1" applyFont="1" applyFill="1" applyBorder="1"/>
    <xf numFmtId="1" fontId="4" fillId="0" borderId="33" xfId="0" applyNumberFormat="1" applyFont="1" applyFill="1" applyBorder="1" applyAlignment="1">
      <alignment horizontal="right"/>
    </xf>
    <xf numFmtId="1" fontId="4" fillId="0" borderId="61" xfId="0" applyNumberFormat="1" applyFont="1" applyBorder="1" applyAlignment="1">
      <alignment horizontal="right"/>
    </xf>
    <xf numFmtId="1" fontId="4" fillId="0" borderId="42" xfId="0" applyNumberFormat="1" applyFont="1" applyFill="1" applyBorder="1" applyAlignment="1">
      <alignment horizontal="right"/>
    </xf>
    <xf numFmtId="1" fontId="4" fillId="0" borderId="82" xfId="0" applyNumberFormat="1" applyFont="1" applyFill="1" applyBorder="1"/>
    <xf numFmtId="1" fontId="4" fillId="0" borderId="26" xfId="0" applyNumberFormat="1" applyFont="1" applyFill="1" applyBorder="1"/>
    <xf numFmtId="1" fontId="4" fillId="0" borderId="13" xfId="0" applyNumberFormat="1" applyFont="1" applyFill="1" applyBorder="1"/>
    <xf numFmtId="1" fontId="4" fillId="0" borderId="13" xfId="0" applyNumberFormat="1" applyFont="1" applyBorder="1"/>
    <xf numFmtId="1" fontId="4" fillId="0" borderId="15" xfId="0" applyNumberFormat="1" applyFont="1" applyBorder="1"/>
    <xf numFmtId="1" fontId="4" fillId="0" borderId="26" xfId="0" applyNumberFormat="1" applyFont="1" applyBorder="1"/>
    <xf numFmtId="1" fontId="5" fillId="0" borderId="42" xfId="0" applyNumberFormat="1" applyFont="1" applyFill="1" applyBorder="1"/>
    <xf numFmtId="0" fontId="4" fillId="0" borderId="133" xfId="0" applyFont="1" applyFill="1" applyBorder="1"/>
    <xf numFmtId="0" fontId="4" fillId="0" borderId="123" xfId="0" applyFont="1" applyFill="1" applyBorder="1"/>
    <xf numFmtId="0" fontId="4" fillId="0" borderId="84" xfId="0" applyFont="1" applyFill="1" applyBorder="1"/>
    <xf numFmtId="0" fontId="4" fillId="0" borderId="83" xfId="0" applyFont="1" applyBorder="1"/>
    <xf numFmtId="0" fontId="4" fillId="0" borderId="123" xfId="0" applyFont="1" applyBorder="1"/>
    <xf numFmtId="0" fontId="4" fillId="0" borderId="91" xfId="0" applyFont="1" applyBorder="1"/>
    <xf numFmtId="0" fontId="3" fillId="0" borderId="110" xfId="0" applyFont="1" applyBorder="1" applyAlignment="1">
      <alignment horizontal="center"/>
    </xf>
    <xf numFmtId="0" fontId="3" fillId="0" borderId="112" xfId="0" applyFont="1" applyBorder="1" applyAlignment="1">
      <alignment horizontal="center"/>
    </xf>
    <xf numFmtId="0" fontId="3" fillId="0" borderId="121" xfId="0" applyFont="1" applyFill="1" applyBorder="1" applyAlignment="1">
      <alignment horizontal="center"/>
    </xf>
    <xf numFmtId="0" fontId="3" fillId="0" borderId="77" xfId="0" applyFont="1" applyFill="1" applyBorder="1" applyAlignment="1">
      <alignment horizontal="center"/>
    </xf>
    <xf numFmtId="0" fontId="3" fillId="0" borderId="55" xfId="0" applyFont="1" applyFill="1" applyBorder="1" applyAlignment="1">
      <alignment horizontal="center"/>
    </xf>
    <xf numFmtId="0" fontId="3" fillId="0" borderId="54" xfId="0" applyFont="1" applyFill="1" applyBorder="1" applyAlignment="1">
      <alignment horizontal="center"/>
    </xf>
    <xf numFmtId="0" fontId="3" fillId="0" borderId="94" xfId="0" applyFont="1" applyFill="1" applyBorder="1" applyAlignment="1">
      <alignment horizontal="center"/>
    </xf>
    <xf numFmtId="0" fontId="3" fillId="0" borderId="94" xfId="0" applyFont="1" applyBorder="1" applyAlignment="1">
      <alignment horizontal="center"/>
    </xf>
    <xf numFmtId="0" fontId="3" fillId="0" borderId="77" xfId="0" applyFont="1" applyBorder="1" applyAlignment="1">
      <alignment horizontal="center"/>
    </xf>
    <xf numFmtId="0" fontId="3" fillId="0" borderId="55" xfId="0" applyFont="1" applyBorder="1" applyAlignment="1">
      <alignment horizontal="center"/>
    </xf>
    <xf numFmtId="0" fontId="3" fillId="0" borderId="80" xfId="0" applyFont="1" applyBorder="1" applyAlignment="1">
      <alignment horizontal="center"/>
    </xf>
    <xf numFmtId="0" fontId="3" fillId="0" borderId="47" xfId="0" applyFont="1" applyBorder="1" applyAlignment="1">
      <alignment horizontal="center"/>
    </xf>
    <xf numFmtId="0" fontId="3" fillId="0" borderId="82" xfId="0" applyFont="1" applyFill="1" applyBorder="1" applyAlignment="1">
      <alignment horizontal="center"/>
    </xf>
    <xf numFmtId="0" fontId="0" fillId="0" borderId="0" xfId="0" applyFill="1" applyAlignment="1">
      <alignment horizontal="centerContinuous"/>
    </xf>
    <xf numFmtId="169" fontId="4" fillId="0" borderId="126" xfId="0" applyNumberFormat="1" applyFont="1" applyFill="1" applyBorder="1"/>
    <xf numFmtId="0" fontId="14" fillId="0" borderId="0" xfId="0" applyFont="1" applyAlignment="1"/>
    <xf numFmtId="0" fontId="4" fillId="59" borderId="25" xfId="0" applyFont="1" applyFill="1" applyBorder="1" applyAlignment="1">
      <alignment horizontal="right"/>
    </xf>
    <xf numFmtId="3" fontId="4" fillId="59" borderId="62" xfId="82" applyNumberFormat="1" applyFont="1" applyFill="1" applyBorder="1" applyAlignment="1">
      <alignment horizontal="right"/>
    </xf>
    <xf numFmtId="0" fontId="4" fillId="59" borderId="15" xfId="0" applyFont="1" applyFill="1" applyBorder="1" applyAlignment="1">
      <alignment horizontal="right"/>
    </xf>
    <xf numFmtId="1" fontId="4" fillId="0" borderId="82" xfId="0" applyNumberFormat="1" applyFont="1" applyFill="1" applyBorder="1" applyAlignment="1">
      <alignment horizontal="right"/>
    </xf>
    <xf numFmtId="0" fontId="3" fillId="0" borderId="24" xfId="0" applyFont="1" applyFill="1" applyBorder="1" applyAlignment="1">
      <alignment horizontal="center"/>
    </xf>
    <xf numFmtId="0" fontId="0" fillId="0" borderId="0" xfId="0" applyBorder="1" applyAlignment="1">
      <alignment horizontal="centerContinuous"/>
    </xf>
    <xf numFmtId="170" fontId="4" fillId="0" borderId="61" xfId="0" applyNumberFormat="1" applyFont="1" applyFill="1" applyBorder="1"/>
    <xf numFmtId="0" fontId="2" fillId="0" borderId="0" xfId="0" applyFont="1" applyAlignment="1"/>
    <xf numFmtId="1" fontId="4" fillId="0" borderId="15" xfId="0" applyNumberFormat="1" applyFont="1" applyFill="1" applyBorder="1" applyAlignment="1">
      <alignment horizontal="center"/>
    </xf>
    <xf numFmtId="1" fontId="4" fillId="0" borderId="11" xfId="0" applyNumberFormat="1" applyFont="1" applyFill="1" applyBorder="1" applyAlignment="1">
      <alignment horizontal="right"/>
    </xf>
    <xf numFmtId="3" fontId="4" fillId="0" borderId="77" xfId="0" applyNumberFormat="1" applyFont="1" applyFill="1" applyBorder="1" applyAlignment="1">
      <alignment horizontal="right"/>
    </xf>
    <xf numFmtId="0" fontId="3" fillId="0" borderId="14" xfId="0" applyFont="1" applyFill="1" applyBorder="1" applyAlignment="1">
      <alignment horizontal="center"/>
    </xf>
    <xf numFmtId="0" fontId="3" fillId="0" borderId="24" xfId="0" applyFont="1" applyFill="1" applyBorder="1" applyAlignment="1">
      <alignment horizontal="center"/>
    </xf>
    <xf numFmtId="0" fontId="3" fillId="0" borderId="134" xfId="0" applyFont="1" applyFill="1" applyBorder="1" applyAlignment="1">
      <alignment horizontal="center"/>
    </xf>
    <xf numFmtId="0" fontId="3" fillId="0" borderId="135" xfId="0" applyFont="1" applyFill="1" applyBorder="1" applyAlignment="1">
      <alignment horizontal="center"/>
    </xf>
    <xf numFmtId="0" fontId="3" fillId="0" borderId="136" xfId="127" applyFont="1" applyFill="1" applyBorder="1" applyAlignment="1">
      <alignment horizontal="center"/>
    </xf>
    <xf numFmtId="0" fontId="0" fillId="0" borderId="137" xfId="0" applyBorder="1" applyAlignment="1">
      <alignment horizontal="center"/>
    </xf>
    <xf numFmtId="0" fontId="3" fillId="0" borderId="136" xfId="0" applyFont="1" applyFill="1" applyBorder="1" applyAlignment="1">
      <alignment horizontal="center"/>
    </xf>
    <xf numFmtId="0" fontId="3" fillId="0" borderId="137" xfId="0" applyFont="1" applyFill="1" applyBorder="1" applyAlignment="1">
      <alignment horizontal="center"/>
    </xf>
    <xf numFmtId="0" fontId="3" fillId="0" borderId="137" xfId="127" applyFont="1" applyFill="1" applyBorder="1" applyAlignment="1">
      <alignment horizontal="center"/>
    </xf>
    <xf numFmtId="166" fontId="4" fillId="0" borderId="63" xfId="127" applyNumberFormat="1" applyFont="1" applyBorder="1" applyAlignment="1"/>
    <xf numFmtId="166" fontId="4" fillId="0" borderId="64" xfId="127" applyNumberFormat="1" applyFont="1" applyBorder="1" applyAlignment="1"/>
    <xf numFmtId="0" fontId="3" fillId="0" borderId="22" xfId="0" applyFont="1" applyBorder="1" applyAlignment="1">
      <alignment horizontal="center"/>
    </xf>
    <xf numFmtId="0" fontId="6" fillId="0" borderId="140" xfId="0" applyFont="1" applyBorder="1" applyAlignment="1"/>
    <xf numFmtId="0" fontId="3" fillId="0" borderId="9" xfId="0" applyFont="1" applyBorder="1" applyAlignment="1">
      <alignment horizontal="center"/>
    </xf>
    <xf numFmtId="0" fontId="0" fillId="0" borderId="9" xfId="0" applyBorder="1" applyAlignment="1"/>
    <xf numFmtId="0" fontId="3" fillId="0" borderId="130" xfId="0" applyFont="1" applyBorder="1" applyAlignment="1">
      <alignment horizontal="center"/>
    </xf>
    <xf numFmtId="0" fontId="3" fillId="0" borderId="103" xfId="0" applyFont="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139" xfId="0" applyFont="1" applyFill="1" applyBorder="1" applyAlignment="1">
      <alignment horizontal="center"/>
    </xf>
    <xf numFmtId="0" fontId="3" fillId="0" borderId="140" xfId="0" applyFont="1" applyBorder="1" applyAlignment="1">
      <alignment horizontal="center"/>
    </xf>
    <xf numFmtId="0" fontId="3" fillId="0" borderId="138" xfId="127" applyFont="1" applyFill="1" applyBorder="1" applyAlignment="1">
      <alignment horizontal="center"/>
    </xf>
    <xf numFmtId="169" fontId="4" fillId="0" borderId="126" xfId="127" applyNumberFormat="1" applyFont="1" applyFill="1" applyBorder="1" applyAlignment="1">
      <alignment horizontal="right"/>
    </xf>
    <xf numFmtId="169" fontId="4" fillId="0" borderId="92" xfId="127" applyNumberFormat="1" applyFont="1" applyFill="1" applyBorder="1" applyAlignment="1">
      <alignment horizontal="right"/>
    </xf>
    <xf numFmtId="169" fontId="4" fillId="0" borderId="71" xfId="127" applyNumberFormat="1" applyFont="1" applyFill="1" applyBorder="1" applyAlignment="1">
      <alignment horizontal="right"/>
    </xf>
    <xf numFmtId="169" fontId="4" fillId="0" borderId="72" xfId="127" applyNumberFormat="1" applyFont="1" applyFill="1" applyBorder="1" applyAlignment="1">
      <alignment horizontal="right"/>
    </xf>
    <xf numFmtId="166" fontId="4" fillId="0" borderId="67" xfId="136" applyNumberFormat="1" applyFont="1" applyBorder="1" applyAlignment="1"/>
    <xf numFmtId="0" fontId="0" fillId="0" borderId="68" xfId="0" applyBorder="1" applyAlignment="1"/>
    <xf numFmtId="166" fontId="4" fillId="0" borderId="61" xfId="136" applyNumberFormat="1" applyFont="1" applyBorder="1" applyAlignment="1"/>
    <xf numFmtId="0" fontId="0" fillId="0" borderId="62" xfId="0" applyFill="1" applyBorder="1" applyAlignment="1"/>
    <xf numFmtId="1" fontId="4" fillId="0" borderId="71" xfId="127" applyNumberFormat="1" applyFont="1" applyFill="1" applyBorder="1" applyAlignment="1">
      <alignment horizontal="right"/>
    </xf>
    <xf numFmtId="1" fontId="4" fillId="0" borderId="72" xfId="127" applyNumberFormat="1" applyFont="1" applyFill="1" applyBorder="1" applyAlignment="1">
      <alignment horizontal="right"/>
    </xf>
    <xf numFmtId="0" fontId="3" fillId="0" borderId="138" xfId="127" applyFont="1" applyBorder="1" applyAlignment="1">
      <alignment horizontal="center"/>
    </xf>
    <xf numFmtId="0" fontId="3" fillId="0" borderId="137" xfId="127" applyFont="1" applyBorder="1" applyAlignment="1">
      <alignment horizontal="center"/>
    </xf>
    <xf numFmtId="0" fontId="3" fillId="0" borderId="138" xfId="127" quotePrefix="1" applyFont="1" applyBorder="1" applyAlignment="1">
      <alignment horizontal="center"/>
    </xf>
    <xf numFmtId="0" fontId="3" fillId="0" borderId="137" xfId="127" quotePrefix="1" applyFont="1" applyBorder="1" applyAlignment="1">
      <alignment horizontal="center"/>
    </xf>
    <xf numFmtId="0" fontId="3" fillId="0" borderId="141" xfId="0" applyFont="1" applyBorder="1" applyAlignment="1">
      <alignment horizontal="center"/>
    </xf>
    <xf numFmtId="0" fontId="3" fillId="0" borderId="129" xfId="0" applyFont="1" applyBorder="1" applyAlignment="1">
      <alignment horizontal="center"/>
    </xf>
    <xf numFmtId="0" fontId="3" fillId="0" borderId="138" xfId="0" applyFont="1" applyFill="1" applyBorder="1" applyAlignment="1">
      <alignment horizontal="center"/>
    </xf>
    <xf numFmtId="166" fontId="4" fillId="0" borderId="65" xfId="136" applyNumberFormat="1" applyFont="1" applyBorder="1" applyAlignment="1"/>
    <xf numFmtId="0" fontId="0" fillId="0" borderId="66" xfId="0" applyFill="1" applyBorder="1" applyAlignment="1"/>
    <xf numFmtId="0" fontId="3" fillId="25" borderId="138" xfId="0" applyFont="1" applyFill="1" applyBorder="1" applyAlignment="1">
      <alignment horizontal="center"/>
    </xf>
    <xf numFmtId="0" fontId="3" fillId="25" borderId="137" xfId="0" applyFont="1" applyFill="1" applyBorder="1" applyAlignment="1">
      <alignment horizontal="center"/>
    </xf>
    <xf numFmtId="0" fontId="4" fillId="0" borderId="137" xfId="0" applyFont="1" applyBorder="1" applyAlignment="1">
      <alignment horizontal="center"/>
    </xf>
    <xf numFmtId="0" fontId="3" fillId="0" borderId="138" xfId="0" applyFont="1" applyBorder="1" applyAlignment="1">
      <alignment horizontal="center"/>
    </xf>
    <xf numFmtId="0" fontId="3" fillId="0" borderId="137" xfId="0" applyFont="1" applyBorder="1" applyAlignment="1">
      <alignment horizontal="center"/>
    </xf>
    <xf numFmtId="0" fontId="3" fillId="0" borderId="136" xfId="0" applyFont="1" applyBorder="1" applyAlignment="1">
      <alignment horizontal="center"/>
    </xf>
    <xf numFmtId="0" fontId="0" fillId="0" borderId="137" xfId="0" applyBorder="1" applyAlignment="1"/>
    <xf numFmtId="166" fontId="0" fillId="0" borderId="64" xfId="0" applyNumberFormat="1" applyBorder="1" applyAlignment="1"/>
    <xf numFmtId="166" fontId="4" fillId="0" borderId="65" xfId="127" applyNumberFormat="1" applyFont="1" applyBorder="1" applyAlignment="1"/>
    <xf numFmtId="0" fontId="0" fillId="0" borderId="66" xfId="0" applyBorder="1" applyAlignment="1"/>
    <xf numFmtId="166" fontId="4" fillId="0" borderId="71" xfId="136" applyNumberFormat="1" applyFont="1" applyBorder="1" applyAlignment="1"/>
    <xf numFmtId="0" fontId="0" fillId="0" borderId="72" xfId="0" applyBorder="1" applyAlignment="1"/>
    <xf numFmtId="166" fontId="4" fillId="0" borderId="71" xfId="127" applyNumberFormat="1" applyFont="1" applyBorder="1" applyAlignment="1"/>
    <xf numFmtId="2" fontId="4" fillId="0" borderId="0" xfId="127" applyNumberFormat="1" applyFont="1" applyFill="1" applyBorder="1" applyAlignment="1">
      <alignment horizontal="right"/>
    </xf>
    <xf numFmtId="2" fontId="0" fillId="0" borderId="72" xfId="0" applyNumberFormat="1" applyBorder="1" applyAlignment="1"/>
    <xf numFmtId="169" fontId="4" fillId="0" borderId="0" xfId="127" applyNumberFormat="1" applyFont="1" applyFill="1" applyBorder="1" applyAlignment="1">
      <alignment horizontal="right"/>
    </xf>
    <xf numFmtId="169" fontId="0" fillId="0" borderId="72" xfId="0" applyNumberFormat="1" applyBorder="1" applyAlignment="1"/>
    <xf numFmtId="169" fontId="11" fillId="0" borderId="71" xfId="0" applyNumberFormat="1" applyFont="1" applyBorder="1" applyAlignment="1"/>
    <xf numFmtId="169" fontId="11" fillId="0" borderId="72" xfId="0" applyNumberFormat="1" applyFont="1" applyBorder="1" applyAlignment="1"/>
    <xf numFmtId="2" fontId="11" fillId="0" borderId="71" xfId="0" applyNumberFormat="1" applyFont="1" applyBorder="1" applyAlignment="1"/>
    <xf numFmtId="0" fontId="11" fillId="0" borderId="72" xfId="0" applyFont="1" applyBorder="1" applyAlignment="1"/>
    <xf numFmtId="1" fontId="4" fillId="0" borderId="85" xfId="127" applyNumberFormat="1" applyFont="1" applyFill="1" applyBorder="1" applyAlignment="1">
      <alignment horizontal="right"/>
    </xf>
    <xf numFmtId="1" fontId="0" fillId="0" borderId="92" xfId="0" applyNumberFormat="1" applyBorder="1" applyAlignment="1"/>
    <xf numFmtId="1" fontId="4" fillId="0" borderId="0" xfId="127" applyNumberFormat="1" applyFont="1" applyFill="1" applyBorder="1" applyAlignment="1">
      <alignment horizontal="right"/>
    </xf>
    <xf numFmtId="1" fontId="0" fillId="0" borderId="72" xfId="0" applyNumberFormat="1" applyBorder="1" applyAlignment="1"/>
    <xf numFmtId="3" fontId="4" fillId="0" borderId="0" xfId="127" applyNumberFormat="1" applyFont="1" applyFill="1" applyBorder="1" applyAlignment="1">
      <alignment horizontal="right"/>
    </xf>
    <xf numFmtId="3" fontId="0" fillId="0" borderId="72" xfId="0" applyNumberFormat="1" applyBorder="1" applyAlignment="1"/>
    <xf numFmtId="0" fontId="6" fillId="0" borderId="103" xfId="0" applyFont="1" applyBorder="1" applyAlignment="1"/>
    <xf numFmtId="0" fontId="0" fillId="0" borderId="137" xfId="0" applyFill="1" applyBorder="1" applyAlignment="1">
      <alignment horizontal="center"/>
    </xf>
    <xf numFmtId="0" fontId="3" fillId="0" borderId="144" xfId="0" applyFont="1" applyFill="1" applyBorder="1" applyAlignment="1">
      <alignment horizontal="center"/>
    </xf>
    <xf numFmtId="0" fontId="3" fillId="0" borderId="145" xfId="0" applyFont="1" applyFill="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46" xfId="0" applyFont="1" applyFill="1" applyBorder="1" applyAlignment="1">
      <alignment horizontal="center"/>
    </xf>
    <xf numFmtId="0" fontId="3" fillId="0" borderId="147" xfId="0" applyFont="1" applyFill="1" applyBorder="1" applyAlignment="1">
      <alignment horizontal="center"/>
    </xf>
    <xf numFmtId="2" fontId="11" fillId="0" borderId="72" xfId="0" applyNumberFormat="1" applyFont="1" applyBorder="1" applyAlignment="1"/>
    <xf numFmtId="3" fontId="3" fillId="0" borderId="141" xfId="127" applyNumberFormat="1" applyFont="1" applyBorder="1" applyAlignment="1">
      <alignment horizontal="center"/>
    </xf>
    <xf numFmtId="0" fontId="0" fillId="0" borderId="129" xfId="0"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166" fontId="4" fillId="0" borderId="67" xfId="136" applyNumberFormat="1" applyFont="1" applyFill="1" applyBorder="1" applyAlignment="1"/>
    <xf numFmtId="0" fontId="0" fillId="0" borderId="68" xfId="0" applyFill="1" applyBorder="1" applyAlignment="1"/>
    <xf numFmtId="0" fontId="3" fillId="0" borderId="32" xfId="0" applyFont="1" applyFill="1" applyBorder="1" applyAlignment="1">
      <alignment horizontal="center"/>
    </xf>
    <xf numFmtId="166" fontId="4" fillId="0" borderId="71" xfId="136" applyNumberFormat="1" applyFont="1" applyFill="1" applyBorder="1" applyAlignment="1"/>
    <xf numFmtId="0" fontId="0" fillId="0" borderId="72" xfId="0" applyFill="1" applyBorder="1" applyAlignment="1"/>
    <xf numFmtId="166" fontId="4" fillId="0" borderId="66" xfId="136" applyNumberFormat="1" applyFont="1" applyBorder="1" applyAlignment="1"/>
    <xf numFmtId="166" fontId="4" fillId="0" borderId="62" xfId="136" applyNumberFormat="1" applyFont="1" applyBorder="1" applyAlignment="1"/>
    <xf numFmtId="1" fontId="0" fillId="0" borderId="0" xfId="0" applyNumberFormat="1" applyBorder="1" applyAlignment="1"/>
    <xf numFmtId="2" fontId="0" fillId="0" borderId="0" xfId="0" applyNumberFormat="1" applyBorder="1" applyAlignment="1"/>
    <xf numFmtId="3" fontId="0" fillId="0" borderId="0" xfId="0" applyNumberFormat="1" applyBorder="1" applyAlignment="1"/>
    <xf numFmtId="0" fontId="0" fillId="0" borderId="0" xfId="0" applyBorder="1" applyAlignment="1"/>
    <xf numFmtId="0" fontId="3" fillId="0" borderId="9" xfId="0" applyFont="1" applyFill="1" applyBorder="1" applyAlignment="1">
      <alignment horizontal="center"/>
    </xf>
    <xf numFmtId="0" fontId="3" fillId="0" borderId="142" xfId="0" applyFont="1" applyFill="1" applyBorder="1" applyAlignment="1">
      <alignment horizontal="center"/>
    </xf>
    <xf numFmtId="0" fontId="3" fillId="0" borderId="143" xfId="0" applyFont="1" applyFill="1" applyBorder="1" applyAlignment="1">
      <alignment horizontal="center"/>
    </xf>
    <xf numFmtId="169" fontId="11" fillId="0" borderId="71" xfId="0" applyNumberFormat="1" applyFont="1" applyBorder="1" applyAlignment="1">
      <alignment horizontal="right"/>
    </xf>
    <xf numFmtId="169" fontId="11" fillId="0" borderId="72" xfId="0" applyNumberFormat="1" applyFont="1" applyBorder="1" applyAlignment="1">
      <alignment horizontal="right"/>
    </xf>
    <xf numFmtId="166" fontId="4" fillId="0" borderId="36" xfId="127" applyNumberFormat="1" applyFont="1" applyFill="1" applyBorder="1" applyAlignment="1"/>
    <xf numFmtId="166" fontId="4" fillId="0" borderId="64" xfId="127" applyNumberFormat="1" applyFont="1" applyFill="1" applyBorder="1" applyAlignment="1"/>
    <xf numFmtId="0" fontId="3" fillId="0" borderId="140" xfId="0" applyFont="1" applyFill="1" applyBorder="1" applyAlignment="1">
      <alignment horizontal="center"/>
    </xf>
    <xf numFmtId="0" fontId="3" fillId="0" borderId="140" xfId="127" applyFont="1" applyFill="1" applyBorder="1" applyAlignment="1">
      <alignment horizontal="center"/>
    </xf>
    <xf numFmtId="3" fontId="4" fillId="0" borderId="71" xfId="127" applyNumberFormat="1" applyFont="1" applyFill="1" applyBorder="1" applyAlignment="1">
      <alignment horizontal="right"/>
    </xf>
    <xf numFmtId="3" fontId="4" fillId="0" borderId="72" xfId="127" applyNumberFormat="1" applyFont="1" applyFill="1" applyBorder="1" applyAlignment="1">
      <alignment horizontal="right"/>
    </xf>
    <xf numFmtId="1" fontId="4" fillId="0" borderId="126" xfId="127" applyNumberFormat="1" applyFont="1" applyFill="1" applyBorder="1" applyAlignment="1">
      <alignment horizontal="right"/>
    </xf>
    <xf numFmtId="1" fontId="4" fillId="0" borderId="92" xfId="127" applyNumberFormat="1" applyFont="1" applyFill="1" applyBorder="1" applyAlignment="1">
      <alignment horizontal="right"/>
    </xf>
    <xf numFmtId="2" fontId="4" fillId="0" borderId="71" xfId="127" applyNumberFormat="1" applyFont="1" applyFill="1" applyBorder="1" applyAlignment="1">
      <alignment horizontal="right"/>
    </xf>
    <xf numFmtId="2" fontId="4" fillId="0" borderId="72" xfId="127" applyNumberFormat="1" applyFont="1" applyFill="1" applyBorder="1" applyAlignment="1">
      <alignment horizontal="right"/>
    </xf>
    <xf numFmtId="166" fontId="4" fillId="0" borderId="53" xfId="127" applyNumberFormat="1" applyFont="1" applyBorder="1" applyAlignment="1"/>
    <xf numFmtId="166" fontId="4" fillId="0" borderId="102" xfId="127" applyNumberFormat="1" applyFont="1" applyBorder="1" applyAlignment="1"/>
    <xf numFmtId="3" fontId="3" fillId="0" borderId="129" xfId="127" applyNumberFormat="1" applyFont="1" applyBorder="1" applyAlignment="1">
      <alignment horizontal="center"/>
    </xf>
    <xf numFmtId="0" fontId="3" fillId="0" borderId="103" xfId="0" applyFont="1" applyFill="1" applyBorder="1" applyAlignment="1">
      <alignment horizontal="center"/>
    </xf>
    <xf numFmtId="0" fontId="3" fillId="0" borderId="129" xfId="0" applyFont="1" applyFill="1" applyBorder="1" applyAlignment="1">
      <alignment horizontal="center"/>
    </xf>
    <xf numFmtId="166" fontId="0" fillId="0" borderId="66" xfId="0" applyNumberFormat="1" applyFill="1" applyBorder="1" applyAlignment="1"/>
    <xf numFmtId="166" fontId="4" fillId="0" borderId="61" xfId="127" applyNumberFormat="1" applyFont="1" applyBorder="1" applyAlignment="1"/>
    <xf numFmtId="166" fontId="4" fillId="0" borderId="62" xfId="127" applyNumberFormat="1" applyFont="1" applyBorder="1" applyAlignment="1"/>
    <xf numFmtId="166" fontId="4" fillId="0" borderId="66" xfId="127" applyNumberFormat="1" applyFont="1" applyBorder="1" applyAlignment="1"/>
    <xf numFmtId="166" fontId="0" fillId="0" borderId="62" xfId="0" applyNumberFormat="1" applyFill="1" applyBorder="1" applyAlignment="1"/>
    <xf numFmtId="166" fontId="4" fillId="0" borderId="63" xfId="127" applyNumberFormat="1" applyFont="1" applyFill="1" applyBorder="1" applyAlignment="1"/>
    <xf numFmtId="166" fontId="4" fillId="0" borderId="61" xfId="136" applyNumberFormat="1" applyFont="1" applyFill="1" applyBorder="1" applyAlignment="1"/>
    <xf numFmtId="166" fontId="4" fillId="0" borderId="65" xfId="136" applyNumberFormat="1" applyFont="1" applyFill="1" applyBorder="1" applyAlignment="1"/>
  </cellXfs>
  <cellStyles count="147">
    <cellStyle name="20% - Accent1 2" xfId="1"/>
    <cellStyle name="20% - Accent1 3" xfId="2"/>
    <cellStyle name="20% - Accent1 4" xfId="3"/>
    <cellStyle name="20% - Accent2 2" xfId="4"/>
    <cellStyle name="20% - Accent2 3" xfId="5"/>
    <cellStyle name="20% - Accent2 4" xfId="6"/>
    <cellStyle name="20% - Accent3 2" xfId="7"/>
    <cellStyle name="20% - Accent3 3" xfId="8"/>
    <cellStyle name="20% - Accent3 4" xfId="9"/>
    <cellStyle name="20% - Accent4 2" xfId="10"/>
    <cellStyle name="20% - Accent4 3" xfId="11"/>
    <cellStyle name="20% - Accent4 4" xfId="12"/>
    <cellStyle name="20% - Accent5 2" xfId="13"/>
    <cellStyle name="20% - Accent5 3" xfId="14"/>
    <cellStyle name="20% - Accent5 4" xfId="15"/>
    <cellStyle name="20% - Accent6 2" xfId="16"/>
    <cellStyle name="20% - Accent6 3" xfId="17"/>
    <cellStyle name="20% - Accent6 4" xfId="18"/>
    <cellStyle name="40% - Accent1 2" xfId="19"/>
    <cellStyle name="40% - Accent1 3" xfId="20"/>
    <cellStyle name="40% - Accent1 4" xfId="21"/>
    <cellStyle name="40% - Accent2 2" xfId="22"/>
    <cellStyle name="40% - Accent2 3" xfId="23"/>
    <cellStyle name="40% - Accent2 4" xfId="24"/>
    <cellStyle name="40% - Accent3 2" xfId="25"/>
    <cellStyle name="40% - Accent3 3" xfId="26"/>
    <cellStyle name="40% - Accent3 4" xfId="27"/>
    <cellStyle name="40% - Accent4 2" xfId="28"/>
    <cellStyle name="40% - Accent4 3" xfId="29"/>
    <cellStyle name="40% - Accent4 4" xfId="30"/>
    <cellStyle name="40% - Accent5 2" xfId="31"/>
    <cellStyle name="40% - Accent5 3" xfId="32"/>
    <cellStyle name="40% - Accent5 4" xfId="33"/>
    <cellStyle name="40% - Accent6 2" xfId="34"/>
    <cellStyle name="40% - Accent6 3" xfId="35"/>
    <cellStyle name="40% - Accent6 4" xfId="36"/>
    <cellStyle name="60% - Accent1 2" xfId="37"/>
    <cellStyle name="60% - Accent1 3" xfId="38"/>
    <cellStyle name="60% - Accent1 4" xfId="39"/>
    <cellStyle name="60% - Accent2 2" xfId="40"/>
    <cellStyle name="60% - Accent2 3" xfId="41"/>
    <cellStyle name="60% - Accent2 4" xfId="42"/>
    <cellStyle name="60% - Accent3 2" xfId="43"/>
    <cellStyle name="60% - Accent3 3" xfId="44"/>
    <cellStyle name="60% - Accent3 4" xfId="45"/>
    <cellStyle name="60% - Accent4 2" xfId="46"/>
    <cellStyle name="60% - Accent4 3" xfId="47"/>
    <cellStyle name="60% - Accent4 4" xfId="48"/>
    <cellStyle name="60% - Accent5 2" xfId="49"/>
    <cellStyle name="60% - Accent5 3" xfId="50"/>
    <cellStyle name="60% - Accent5 4" xfId="51"/>
    <cellStyle name="60% - Accent6 2" xfId="52"/>
    <cellStyle name="60% - Accent6 3" xfId="53"/>
    <cellStyle name="60% - Accent6 4" xfId="54"/>
    <cellStyle name="Accent1 2" xfId="55"/>
    <cellStyle name="Accent1 3" xfId="56"/>
    <cellStyle name="Accent1 4" xfId="57"/>
    <cellStyle name="Accent2 2" xfId="58"/>
    <cellStyle name="Accent2 3" xfId="59"/>
    <cellStyle name="Accent2 4" xfId="60"/>
    <cellStyle name="Accent3 2" xfId="61"/>
    <cellStyle name="Accent3 3" xfId="62"/>
    <cellStyle name="Accent3 4" xfId="63"/>
    <cellStyle name="Accent4 2" xfId="64"/>
    <cellStyle name="Accent4 3" xfId="65"/>
    <cellStyle name="Accent4 4" xfId="66"/>
    <cellStyle name="Accent5 2" xfId="67"/>
    <cellStyle name="Accent5 3" xfId="68"/>
    <cellStyle name="Accent5 4" xfId="69"/>
    <cellStyle name="Accent6 2" xfId="70"/>
    <cellStyle name="Accent6 3" xfId="71"/>
    <cellStyle name="Accent6 4" xfId="72"/>
    <cellStyle name="Bad 2" xfId="73"/>
    <cellStyle name="Bad 3" xfId="74"/>
    <cellStyle name="Bad 4" xfId="75"/>
    <cellStyle name="Calculation 2" xfId="76"/>
    <cellStyle name="Calculation 3" xfId="77"/>
    <cellStyle name="Calculation 4" xfId="78"/>
    <cellStyle name="Check Cell 2" xfId="79"/>
    <cellStyle name="Check Cell 3" xfId="80"/>
    <cellStyle name="Check Cell 4" xfId="81"/>
    <cellStyle name="Comma" xfId="82" builtinId="3"/>
    <cellStyle name="Comma 2" xfId="83"/>
    <cellStyle name="Comma 2 2" xfId="84"/>
    <cellStyle name="Comma0" xfId="85"/>
    <cellStyle name="Currency" xfId="86" builtinId="4"/>
    <cellStyle name="Currency0" xfId="87"/>
    <cellStyle name="Date" xfId="88"/>
    <cellStyle name="Explanatory Text 2" xfId="89"/>
    <cellStyle name="Explanatory Text 3" xfId="90"/>
    <cellStyle name="Explanatory Text 4" xfId="91"/>
    <cellStyle name="Fixed" xfId="92"/>
    <cellStyle name="Good 2" xfId="93"/>
    <cellStyle name="Good 3" xfId="94"/>
    <cellStyle name="Good 4" xfId="95"/>
    <cellStyle name="Heading 1" xfId="96" builtinId="16" customBuiltin="1"/>
    <cellStyle name="Heading 1 2" xfId="97"/>
    <cellStyle name="Heading 1 3" xfId="98"/>
    <cellStyle name="Heading 1 4" xfId="99"/>
    <cellStyle name="Heading 2" xfId="100" builtinId="17" customBuiltin="1"/>
    <cellStyle name="Heading 2 2" xfId="101"/>
    <cellStyle name="Heading 2 3" xfId="102"/>
    <cellStyle name="Heading 2 4" xfId="103"/>
    <cellStyle name="Heading 3 2" xfId="104"/>
    <cellStyle name="Heading 3 3" xfId="105"/>
    <cellStyle name="Heading 3 4" xfId="106"/>
    <cellStyle name="Heading 4 2" xfId="107"/>
    <cellStyle name="Heading 4 3" xfId="108"/>
    <cellStyle name="Heading 4 4" xfId="109"/>
    <cellStyle name="HEADING1" xfId="110"/>
    <cellStyle name="HEADING2" xfId="111"/>
    <cellStyle name="Input 2" xfId="112"/>
    <cellStyle name="Input 3" xfId="113"/>
    <cellStyle name="Input 4" xfId="114"/>
    <cellStyle name="Linked Cell 2" xfId="115"/>
    <cellStyle name="Linked Cell 3" xfId="116"/>
    <cellStyle name="Linked Cell 4" xfId="117"/>
    <cellStyle name="Neutral 2" xfId="118"/>
    <cellStyle name="Neutral 3" xfId="119"/>
    <cellStyle name="Neutral 4" xfId="120"/>
    <cellStyle name="Normal" xfId="0" builtinId="0"/>
    <cellStyle name="Normal 2" xfId="121"/>
    <cellStyle name="Normal 2 2" xfId="122"/>
    <cellStyle name="Normal 3" xfId="123"/>
    <cellStyle name="Normal 3 2" xfId="124"/>
    <cellStyle name="Normal 4" xfId="125"/>
    <cellStyle name="Normal 5" xfId="126"/>
    <cellStyle name="Normal_Accounting" xfId="127"/>
    <cellStyle name="Note 2" xfId="128"/>
    <cellStyle name="Note 3" xfId="129"/>
    <cellStyle name="Note 4" xfId="130"/>
    <cellStyle name="Output 2" xfId="131"/>
    <cellStyle name="Output 3" xfId="132"/>
    <cellStyle name="Output 4" xfId="133"/>
    <cellStyle name="Percent" xfId="134" builtinId="5"/>
    <cellStyle name="Percent 2" xfId="135"/>
    <cellStyle name="Percent_Accounting" xfId="136"/>
    <cellStyle name="Title 2" xfId="137"/>
    <cellStyle name="Title 3" xfId="138"/>
    <cellStyle name="Title 4" xfId="139"/>
    <cellStyle name="Total" xfId="140" builtinId="25" customBuiltin="1"/>
    <cellStyle name="Total 2" xfId="141"/>
    <cellStyle name="Total 3" xfId="142"/>
    <cellStyle name="Total 4" xfId="143"/>
    <cellStyle name="Warning Text 2" xfId="144"/>
    <cellStyle name="Warning Text 3" xfId="145"/>
    <cellStyle name="Warning Text 4" xfId="14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view="pageBreakPreview" zoomScaleNormal="70" zoomScaleSheetLayoutView="85" workbookViewId="0">
      <pane xSplit="2" topLeftCell="O1" activePane="topRight" state="frozen"/>
      <selection activeCell="Y91" sqref="Y91:Z91"/>
      <selection pane="topRight" activeCell="Y91" sqref="Y91:Z91"/>
    </sheetView>
  </sheetViews>
  <sheetFormatPr defaultColWidth="10.28515625" defaultRowHeight="12.75" x14ac:dyDescent="0.2"/>
  <cols>
    <col min="1" max="1" width="3.7109375" style="1" customWidth="1"/>
    <col min="2" max="2" width="32.140625" style="1" customWidth="1"/>
    <col min="3" max="3" width="7.7109375" hidden="1" customWidth="1"/>
    <col min="4" max="4" width="10.42578125" hidden="1" customWidth="1"/>
    <col min="5" max="5" width="7.7109375" style="1" hidden="1" customWidth="1"/>
    <col min="6" max="6" width="10.42578125" style="1" hidden="1" customWidth="1"/>
    <col min="7" max="7" width="7.7109375" style="1" hidden="1" customWidth="1"/>
    <col min="8" max="8" width="10.42578125" style="1" hidden="1" customWidth="1"/>
    <col min="9" max="9" width="7.7109375" style="95" hidden="1" customWidth="1"/>
    <col min="10" max="10" width="10.42578125" style="95" hidden="1" customWidth="1"/>
    <col min="11" max="11" width="7.7109375" style="1" hidden="1" customWidth="1"/>
    <col min="12" max="12" width="10.42578125" style="1" hidden="1" customWidth="1"/>
    <col min="13" max="13" width="7.7109375" style="1" hidden="1" customWidth="1"/>
    <col min="14" max="14" width="10.42578125" style="1" hidden="1" customWidth="1"/>
    <col min="15" max="15" width="6.7109375" style="1" customWidth="1"/>
    <col min="16" max="16" width="10.5703125" style="1" customWidth="1"/>
    <col min="17" max="17" width="6.7109375" style="1" customWidth="1"/>
    <col min="18" max="18" width="10.85546875" style="1" customWidth="1"/>
    <col min="19" max="19" width="6.7109375" style="1" customWidth="1"/>
    <col min="20" max="20" width="11.140625" style="1" customWidth="1"/>
    <col min="21" max="21" width="6.7109375" style="1" customWidth="1"/>
    <col min="22" max="22" width="10.85546875" style="1" customWidth="1"/>
    <col min="23" max="23" width="6.7109375" style="1" customWidth="1"/>
    <col min="24" max="24" width="10.5703125" style="1" customWidth="1"/>
    <col min="25" max="25" width="6.7109375" style="1" customWidth="1"/>
    <col min="26" max="26" width="10.42578125" style="1" customWidth="1"/>
    <col min="27" max="27" width="2.5703125" style="1" customWidth="1"/>
    <col min="28" max="28" width="8.42578125" style="1" customWidth="1"/>
    <col min="29" max="29" width="9.5703125" style="1" customWidth="1"/>
    <col min="30" max="30" width="1.7109375" style="1" customWidth="1"/>
    <col min="31" max="16384" width="10.28515625" style="1"/>
  </cols>
  <sheetData>
    <row r="1" spans="1:29" ht="18" x14ac:dyDescent="0.25">
      <c r="A1" s="768" t="s">
        <v>209</v>
      </c>
      <c r="B1" s="768"/>
      <c r="C1" s="768"/>
      <c r="D1" s="768"/>
      <c r="E1" s="768"/>
      <c r="F1" s="768"/>
      <c r="G1" s="768"/>
      <c r="H1" s="768"/>
      <c r="I1" s="769"/>
      <c r="J1" s="769"/>
      <c r="K1" s="769"/>
      <c r="L1" s="769"/>
      <c r="M1" s="769"/>
      <c r="N1" s="769"/>
      <c r="O1" s="769"/>
      <c r="P1" s="769"/>
      <c r="Q1" s="769"/>
      <c r="R1" s="769"/>
      <c r="S1" s="769"/>
      <c r="T1" s="769"/>
      <c r="U1" s="769"/>
      <c r="V1" s="769"/>
      <c r="W1" s="769"/>
      <c r="X1" s="769"/>
      <c r="Y1" s="769"/>
      <c r="Z1" s="769"/>
      <c r="AA1" s="769"/>
      <c r="AB1" s="769"/>
      <c r="AC1" s="769"/>
    </row>
    <row r="2" spans="1:29" ht="12" x14ac:dyDescent="0.2">
      <c r="C2" s="1"/>
      <c r="D2" s="1"/>
    </row>
    <row r="3" spans="1:29" x14ac:dyDescent="0.2">
      <c r="A3" s="3" t="s">
        <v>23</v>
      </c>
      <c r="C3" s="1"/>
      <c r="D3" s="1"/>
    </row>
    <row r="4" spans="1:29" ht="12" customHeight="1" x14ac:dyDescent="0.2">
      <c r="C4" s="1"/>
      <c r="D4" s="1"/>
    </row>
    <row r="5" spans="1:29" x14ac:dyDescent="0.2">
      <c r="A5" s="3" t="s">
        <v>45</v>
      </c>
      <c r="C5" s="1"/>
      <c r="D5" s="1"/>
    </row>
    <row r="6" spans="1:29" ht="15.75" customHeight="1" thickBot="1" x14ac:dyDescent="0.25">
      <c r="A6" s="3"/>
      <c r="C6" s="1"/>
      <c r="D6" s="1"/>
      <c r="J6" s="1"/>
    </row>
    <row r="7" spans="1:29" ht="13.5" customHeight="1" thickTop="1" x14ac:dyDescent="0.2">
      <c r="B7" s="41"/>
      <c r="C7" s="19" t="s">
        <v>27</v>
      </c>
      <c r="D7" s="20"/>
      <c r="E7" s="9" t="s">
        <v>28</v>
      </c>
      <c r="F7" s="6"/>
      <c r="G7" s="19" t="s">
        <v>83</v>
      </c>
      <c r="H7" s="20"/>
      <c r="I7" s="1250" t="s">
        <v>93</v>
      </c>
      <c r="J7" s="1250"/>
      <c r="K7" s="1265" t="s">
        <v>94</v>
      </c>
      <c r="L7" s="1266"/>
      <c r="M7" s="1265" t="s">
        <v>100</v>
      </c>
      <c r="N7" s="1249"/>
      <c r="O7" s="1248" t="s">
        <v>143</v>
      </c>
      <c r="P7" s="1249"/>
      <c r="Q7" s="1248" t="s">
        <v>149</v>
      </c>
      <c r="R7" s="1249"/>
      <c r="S7" s="1248" t="s">
        <v>167</v>
      </c>
      <c r="T7" s="1249"/>
      <c r="U7" s="1248" t="s">
        <v>181</v>
      </c>
      <c r="V7" s="1249"/>
      <c r="W7" s="1248" t="s">
        <v>194</v>
      </c>
      <c r="X7" s="1249"/>
      <c r="Y7" s="1248" t="s">
        <v>203</v>
      </c>
      <c r="Z7" s="1249"/>
      <c r="AB7" s="1263" t="s">
        <v>133</v>
      </c>
      <c r="AC7" s="1264"/>
    </row>
    <row r="8" spans="1:29" ht="12" x14ac:dyDescent="0.2">
      <c r="B8" s="42"/>
      <c r="C8" s="21" t="s">
        <v>0</v>
      </c>
      <c r="D8" s="22" t="s">
        <v>1</v>
      </c>
      <c r="E8" s="10" t="s">
        <v>0</v>
      </c>
      <c r="F8" s="7" t="s">
        <v>1</v>
      </c>
      <c r="G8" s="21" t="s">
        <v>0</v>
      </c>
      <c r="H8" s="22" t="s">
        <v>1</v>
      </c>
      <c r="I8" s="299" t="s">
        <v>0</v>
      </c>
      <c r="J8" s="333" t="s">
        <v>1</v>
      </c>
      <c r="K8" s="299" t="s">
        <v>0</v>
      </c>
      <c r="L8" s="349" t="s">
        <v>1</v>
      </c>
      <c r="M8" s="227" t="s">
        <v>0</v>
      </c>
      <c r="N8" s="333" t="s">
        <v>1</v>
      </c>
      <c r="O8" s="299" t="s">
        <v>0</v>
      </c>
      <c r="P8" s="333" t="s">
        <v>1</v>
      </c>
      <c r="Q8" s="299" t="s">
        <v>0</v>
      </c>
      <c r="R8" s="333" t="s">
        <v>1</v>
      </c>
      <c r="S8" s="299" t="s">
        <v>0</v>
      </c>
      <c r="T8" s="333" t="s">
        <v>1</v>
      </c>
      <c r="U8" s="299" t="s">
        <v>0</v>
      </c>
      <c r="V8" s="333" t="s">
        <v>1</v>
      </c>
      <c r="W8" s="299" t="s">
        <v>0</v>
      </c>
      <c r="X8" s="333" t="s">
        <v>1</v>
      </c>
      <c r="Y8" s="299" t="s">
        <v>0</v>
      </c>
      <c r="Z8" s="333" t="s">
        <v>1</v>
      </c>
      <c r="AB8" s="642" t="s">
        <v>0</v>
      </c>
      <c r="AC8" s="643" t="s">
        <v>1</v>
      </c>
    </row>
    <row r="9" spans="1:29" thickBot="1" x14ac:dyDescent="0.25">
      <c r="B9" s="43"/>
      <c r="C9" s="23" t="s">
        <v>2</v>
      </c>
      <c r="D9" s="24" t="s">
        <v>3</v>
      </c>
      <c r="E9" s="16" t="s">
        <v>2</v>
      </c>
      <c r="F9" s="17" t="s">
        <v>3</v>
      </c>
      <c r="G9" s="23" t="s">
        <v>2</v>
      </c>
      <c r="H9" s="24" t="s">
        <v>3</v>
      </c>
      <c r="I9" s="300" t="s">
        <v>2</v>
      </c>
      <c r="J9" s="334" t="s">
        <v>3</v>
      </c>
      <c r="K9" s="300" t="s">
        <v>2</v>
      </c>
      <c r="L9" s="350" t="s">
        <v>3</v>
      </c>
      <c r="M9" s="228" t="s">
        <v>2</v>
      </c>
      <c r="N9" s="334" t="s">
        <v>3</v>
      </c>
      <c r="O9" s="300" t="s">
        <v>2</v>
      </c>
      <c r="P9" s="334" t="s">
        <v>3</v>
      </c>
      <c r="Q9" s="300" t="s">
        <v>2</v>
      </c>
      <c r="R9" s="334" t="s">
        <v>3</v>
      </c>
      <c r="S9" s="300" t="s">
        <v>2</v>
      </c>
      <c r="T9" s="334" t="s">
        <v>3</v>
      </c>
      <c r="U9" s="300" t="s">
        <v>2</v>
      </c>
      <c r="V9" s="334" t="s">
        <v>3</v>
      </c>
      <c r="W9" s="300" t="s">
        <v>2</v>
      </c>
      <c r="X9" s="334" t="s">
        <v>3</v>
      </c>
      <c r="Y9" s="300" t="s">
        <v>2</v>
      </c>
      <c r="Z9" s="334" t="s">
        <v>3</v>
      </c>
      <c r="AB9" s="644" t="s">
        <v>2</v>
      </c>
      <c r="AC9" s="645" t="s">
        <v>3</v>
      </c>
    </row>
    <row r="10" spans="1:29" ht="12" x14ac:dyDescent="0.2">
      <c r="B10" s="44" t="s">
        <v>4</v>
      </c>
      <c r="C10" s="25"/>
      <c r="D10" s="26"/>
      <c r="E10" s="11"/>
      <c r="F10" s="12"/>
      <c r="G10" s="25"/>
      <c r="H10" s="26"/>
      <c r="I10" s="195"/>
      <c r="J10" s="261"/>
      <c r="K10" s="27"/>
      <c r="L10" s="8"/>
      <c r="M10" s="27"/>
      <c r="N10" s="28"/>
      <c r="O10" s="770"/>
      <c r="P10" s="28"/>
      <c r="Q10" s="770"/>
      <c r="R10" s="28"/>
      <c r="S10" s="770"/>
      <c r="T10" s="28"/>
      <c r="U10" s="770"/>
      <c r="V10" s="28"/>
      <c r="W10" s="770"/>
      <c r="X10" s="28"/>
      <c r="Y10" s="770"/>
      <c r="Z10" s="28"/>
      <c r="AB10" s="774"/>
      <c r="AC10" s="646"/>
    </row>
    <row r="11" spans="1:29" ht="12" x14ac:dyDescent="0.2">
      <c r="B11" s="285" t="s">
        <v>140</v>
      </c>
      <c r="C11" s="68"/>
      <c r="D11" s="97"/>
      <c r="E11" s="98"/>
      <c r="F11" s="8"/>
      <c r="G11" s="68"/>
      <c r="H11" s="28"/>
      <c r="I11" s="98"/>
      <c r="J11" s="99"/>
      <c r="K11" s="27"/>
      <c r="L11" s="8"/>
      <c r="M11" s="27"/>
      <c r="N11" s="28"/>
      <c r="O11" s="770"/>
      <c r="P11" s="28"/>
      <c r="Q11" s="770"/>
      <c r="R11" s="28"/>
      <c r="S11" s="770"/>
      <c r="T11" s="28"/>
      <c r="U11" s="770"/>
      <c r="V11" s="28"/>
      <c r="W11" s="770"/>
      <c r="X11" s="28"/>
      <c r="Y11" s="770"/>
      <c r="Z11" s="28"/>
      <c r="AB11" s="775"/>
      <c r="AC11" s="647"/>
    </row>
    <row r="12" spans="1:29" ht="12" x14ac:dyDescent="0.2">
      <c r="B12" s="96" t="s">
        <v>159</v>
      </c>
      <c r="C12" s="68">
        <v>52</v>
      </c>
      <c r="D12" s="102">
        <v>10</v>
      </c>
      <c r="E12" s="98">
        <v>46</v>
      </c>
      <c r="F12" s="52">
        <v>13</v>
      </c>
      <c r="G12" s="278">
        <v>36</v>
      </c>
      <c r="H12" s="102">
        <v>18</v>
      </c>
      <c r="I12" s="98">
        <v>27</v>
      </c>
      <c r="J12" s="101">
        <v>12</v>
      </c>
      <c r="K12" s="596">
        <v>27</v>
      </c>
      <c r="L12" s="30">
        <v>8</v>
      </c>
      <c r="M12" s="278">
        <v>27</v>
      </c>
      <c r="N12" s="97">
        <v>12</v>
      </c>
      <c r="O12" s="384">
        <v>40</v>
      </c>
      <c r="P12" s="97">
        <v>7</v>
      </c>
      <c r="Q12" s="384">
        <v>60</v>
      </c>
      <c r="R12" s="97">
        <v>14</v>
      </c>
      <c r="S12" s="384">
        <v>67</v>
      </c>
      <c r="T12" s="97">
        <v>9</v>
      </c>
      <c r="U12" s="384">
        <v>52</v>
      </c>
      <c r="V12" s="97">
        <v>9</v>
      </c>
      <c r="W12" s="384">
        <v>50</v>
      </c>
      <c r="X12" s="97">
        <v>3</v>
      </c>
      <c r="Y12" s="384">
        <v>41</v>
      </c>
      <c r="Z12" s="1015"/>
      <c r="AA12" s="272"/>
      <c r="AB12" s="662">
        <f>AVERAGE(W12,U12,S12,Q12,Y12)</f>
        <v>54</v>
      </c>
      <c r="AC12" s="773">
        <f t="shared" ref="AC12:AC16" si="0">AVERAGE(X12,V12,T12,R12,P12)</f>
        <v>8.4</v>
      </c>
    </row>
    <row r="13" spans="1:29" ht="12" x14ac:dyDescent="0.2">
      <c r="B13" s="121" t="s">
        <v>207</v>
      </c>
      <c r="C13" s="110">
        <v>49</v>
      </c>
      <c r="D13" s="111">
        <v>6</v>
      </c>
      <c r="E13" s="206">
        <f>53+3</f>
        <v>56</v>
      </c>
      <c r="F13" s="746">
        <v>11</v>
      </c>
      <c r="G13" s="279">
        <v>54</v>
      </c>
      <c r="H13" s="111">
        <v>12</v>
      </c>
      <c r="I13" s="206">
        <v>47</v>
      </c>
      <c r="J13" s="597">
        <v>10</v>
      </c>
      <c r="K13" s="596">
        <v>35</v>
      </c>
      <c r="L13" s="30">
        <v>8</v>
      </c>
      <c r="M13" s="278">
        <f>42</f>
        <v>42</v>
      </c>
      <c r="N13" s="97">
        <v>7</v>
      </c>
      <c r="O13" s="384">
        <v>52</v>
      </c>
      <c r="P13" s="97">
        <v>8</v>
      </c>
      <c r="Q13" s="384">
        <v>47</v>
      </c>
      <c r="R13" s="97">
        <v>15</v>
      </c>
      <c r="S13" s="384">
        <v>29</v>
      </c>
      <c r="T13" s="97">
        <v>4</v>
      </c>
      <c r="U13" s="384">
        <v>26</v>
      </c>
      <c r="V13" s="97">
        <v>6</v>
      </c>
      <c r="W13" s="384">
        <v>27</v>
      </c>
      <c r="X13" s="97">
        <v>3</v>
      </c>
      <c r="Y13" s="384">
        <v>36</v>
      </c>
      <c r="Z13" s="1015"/>
      <c r="AA13" s="272"/>
      <c r="AB13" s="662">
        <f t="shared" ref="AB13:AB14" si="1">AVERAGE(W13,U13,S13,Q13,Y13)</f>
        <v>33</v>
      </c>
      <c r="AC13" s="773">
        <f t="shared" si="0"/>
        <v>7.2</v>
      </c>
    </row>
    <row r="14" spans="1:29" ht="12" x14ac:dyDescent="0.2">
      <c r="B14" s="96" t="s">
        <v>7</v>
      </c>
      <c r="C14" s="68">
        <v>68</v>
      </c>
      <c r="D14" s="102">
        <v>12</v>
      </c>
      <c r="E14" s="98">
        <v>73</v>
      </c>
      <c r="F14" s="52">
        <v>14</v>
      </c>
      <c r="G14" s="278">
        <v>69</v>
      </c>
      <c r="H14" s="102">
        <v>9</v>
      </c>
      <c r="I14" s="98">
        <v>64</v>
      </c>
      <c r="J14" s="101">
        <v>10</v>
      </c>
      <c r="K14" s="596">
        <v>61</v>
      </c>
      <c r="L14" s="30">
        <v>14</v>
      </c>
      <c r="M14" s="278">
        <v>61</v>
      </c>
      <c r="N14" s="97">
        <v>10</v>
      </c>
      <c r="O14" s="384">
        <v>71</v>
      </c>
      <c r="P14" s="97">
        <v>9</v>
      </c>
      <c r="Q14" s="384">
        <v>75</v>
      </c>
      <c r="R14" s="97">
        <v>8</v>
      </c>
      <c r="S14" s="384">
        <v>89</v>
      </c>
      <c r="T14" s="97">
        <v>19</v>
      </c>
      <c r="U14" s="384">
        <v>84</v>
      </c>
      <c r="V14" s="97">
        <v>11</v>
      </c>
      <c r="W14" s="384">
        <v>98</v>
      </c>
      <c r="X14" s="97">
        <v>17</v>
      </c>
      <c r="Y14" s="384">
        <v>95</v>
      </c>
      <c r="Z14" s="1015"/>
      <c r="AA14" s="272"/>
      <c r="AB14" s="662">
        <f t="shared" si="1"/>
        <v>88.2</v>
      </c>
      <c r="AC14" s="773">
        <f t="shared" si="0"/>
        <v>12.8</v>
      </c>
    </row>
    <row r="15" spans="1:29" ht="12" hidden="1" x14ac:dyDescent="0.2">
      <c r="B15" s="285" t="s">
        <v>141</v>
      </c>
      <c r="C15" s="68"/>
      <c r="D15" s="102"/>
      <c r="E15" s="98"/>
      <c r="F15" s="53"/>
      <c r="G15" s="278"/>
      <c r="H15" s="102"/>
      <c r="I15" s="98"/>
      <c r="J15" s="262"/>
      <c r="K15" s="596"/>
      <c r="L15" s="30"/>
      <c r="M15" s="278"/>
      <c r="N15" s="97"/>
      <c r="O15" s="384"/>
      <c r="P15" s="97"/>
      <c r="Q15" s="384"/>
      <c r="R15" s="97"/>
      <c r="S15" s="384"/>
      <c r="T15" s="97"/>
      <c r="U15" s="384"/>
      <c r="V15" s="97"/>
      <c r="W15" s="384"/>
      <c r="X15" s="97"/>
      <c r="Y15" s="384"/>
      <c r="Z15" s="1015"/>
      <c r="AA15" s="272"/>
      <c r="AB15" s="662" t="e">
        <f t="shared" ref="AB15:AB16" si="2">AVERAGE(W15,U15,S15,Q15,O15)</f>
        <v>#DIV/0!</v>
      </c>
      <c r="AC15" s="773" t="e">
        <f t="shared" si="0"/>
        <v>#DIV/0!</v>
      </c>
    </row>
    <row r="16" spans="1:29" ht="12" hidden="1" x14ac:dyDescent="0.2">
      <c r="B16" s="96" t="s">
        <v>151</v>
      </c>
      <c r="C16" s="68">
        <v>36</v>
      </c>
      <c r="D16" s="102">
        <v>5</v>
      </c>
      <c r="E16" s="98">
        <f>32+1</f>
        <v>33</v>
      </c>
      <c r="F16" s="52">
        <v>10</v>
      </c>
      <c r="G16" s="278">
        <v>20</v>
      </c>
      <c r="H16" s="102">
        <v>8</v>
      </c>
      <c r="I16" s="98">
        <v>0</v>
      </c>
      <c r="J16" s="101">
        <v>3</v>
      </c>
      <c r="K16" s="596">
        <v>4</v>
      </c>
      <c r="L16" s="30">
        <v>1</v>
      </c>
      <c r="M16" s="278">
        <v>1</v>
      </c>
      <c r="N16" s="97">
        <v>3</v>
      </c>
      <c r="O16" s="709"/>
      <c r="P16" s="853"/>
      <c r="Q16" s="709"/>
      <c r="R16" s="853"/>
      <c r="S16" s="709"/>
      <c r="T16" s="97"/>
      <c r="U16" s="709"/>
      <c r="V16" s="97"/>
      <c r="W16" s="709"/>
      <c r="X16" s="97"/>
      <c r="Y16" s="709"/>
      <c r="Z16" s="1015"/>
      <c r="AA16" s="272"/>
      <c r="AB16" s="662" t="e">
        <f t="shared" si="2"/>
        <v>#DIV/0!</v>
      </c>
      <c r="AC16" s="773" t="e">
        <f t="shared" si="0"/>
        <v>#DIV/0!</v>
      </c>
    </row>
    <row r="17" spans="2:29" ht="12" x14ac:dyDescent="0.2">
      <c r="B17" s="288" t="s">
        <v>142</v>
      </c>
      <c r="C17" s="68"/>
      <c r="D17" s="205"/>
      <c r="E17" s="98"/>
      <c r="F17" s="77"/>
      <c r="G17" s="278"/>
      <c r="H17" s="205"/>
      <c r="I17" s="98"/>
      <c r="J17" s="210"/>
      <c r="K17" s="596"/>
      <c r="L17" s="30"/>
      <c r="M17" s="278"/>
      <c r="N17" s="97"/>
      <c r="O17" s="384"/>
      <c r="P17" s="97"/>
      <c r="Q17" s="384"/>
      <c r="R17" s="97"/>
      <c r="S17" s="384"/>
      <c r="T17" s="97"/>
      <c r="U17" s="384"/>
      <c r="V17" s="97"/>
      <c r="W17" s="384"/>
      <c r="X17" s="97"/>
      <c r="Y17" s="384"/>
      <c r="Z17" s="1015"/>
      <c r="AA17" s="272"/>
      <c r="AB17" s="662"/>
      <c r="AC17" s="773"/>
    </row>
    <row r="18" spans="2:29" ht="12" x14ac:dyDescent="0.2">
      <c r="B18" s="96" t="s">
        <v>73</v>
      </c>
      <c r="C18" s="194">
        <v>30</v>
      </c>
      <c r="D18" s="207" t="s">
        <v>20</v>
      </c>
      <c r="E18" s="195">
        <v>29</v>
      </c>
      <c r="F18" s="207" t="s">
        <v>20</v>
      </c>
      <c r="G18" s="194">
        <v>37</v>
      </c>
      <c r="H18" s="764" t="s">
        <v>20</v>
      </c>
      <c r="I18" s="195">
        <v>61</v>
      </c>
      <c r="J18" s="207" t="s">
        <v>20</v>
      </c>
      <c r="K18" s="596">
        <v>41</v>
      </c>
      <c r="L18" s="515" t="s">
        <v>20</v>
      </c>
      <c r="M18" s="278">
        <v>48</v>
      </c>
      <c r="N18" s="207" t="s">
        <v>20</v>
      </c>
      <c r="O18" s="384">
        <v>95</v>
      </c>
      <c r="P18" s="205">
        <v>35</v>
      </c>
      <c r="Q18" s="384">
        <v>122</v>
      </c>
      <c r="R18" s="205">
        <v>53</v>
      </c>
      <c r="S18" s="384">
        <v>125</v>
      </c>
      <c r="T18" s="205">
        <v>61</v>
      </c>
      <c r="U18" s="384">
        <v>114</v>
      </c>
      <c r="V18" s="205">
        <v>46</v>
      </c>
      <c r="W18" s="384">
        <v>112</v>
      </c>
      <c r="X18" s="205">
        <v>50</v>
      </c>
      <c r="Y18" s="384">
        <v>137</v>
      </c>
      <c r="Z18" s="1016"/>
      <c r="AA18" s="272"/>
      <c r="AB18" s="662">
        <f t="shared" ref="AB18:AB23" si="3">AVERAGE(W18,U18,S18,Q18,Y18)</f>
        <v>122</v>
      </c>
      <c r="AC18" s="773">
        <f>AVERAGE(X18,V18,T18,R18,P18)</f>
        <v>49</v>
      </c>
    </row>
    <row r="19" spans="2:29" ht="12" x14ac:dyDescent="0.2">
      <c r="B19" s="121" t="s">
        <v>48</v>
      </c>
      <c r="C19" s="110"/>
      <c r="D19" s="111"/>
      <c r="E19" s="206">
        <v>0</v>
      </c>
      <c r="F19" s="746">
        <v>0</v>
      </c>
      <c r="G19" s="279">
        <v>0</v>
      </c>
      <c r="H19" s="111">
        <v>0</v>
      </c>
      <c r="I19" s="385">
        <v>0</v>
      </c>
      <c r="J19" s="597">
        <v>0</v>
      </c>
      <c r="K19" s="596">
        <v>0</v>
      </c>
      <c r="L19" s="30">
        <v>0</v>
      </c>
      <c r="M19" s="278">
        <v>0</v>
      </c>
      <c r="N19" s="97">
        <v>0</v>
      </c>
      <c r="O19" s="384">
        <v>0</v>
      </c>
      <c r="P19" s="97">
        <v>0</v>
      </c>
      <c r="Q19" s="384">
        <v>0</v>
      </c>
      <c r="R19" s="97">
        <v>0</v>
      </c>
      <c r="S19" s="384">
        <v>2</v>
      </c>
      <c r="T19" s="97">
        <v>0</v>
      </c>
      <c r="U19" s="384">
        <v>1</v>
      </c>
      <c r="V19" s="97">
        <v>1</v>
      </c>
      <c r="W19" s="384">
        <v>1</v>
      </c>
      <c r="X19" s="97">
        <v>1</v>
      </c>
      <c r="Y19" s="384">
        <v>2</v>
      </c>
      <c r="Z19" s="1015"/>
      <c r="AA19" s="272"/>
      <c r="AB19" s="662">
        <f t="shared" si="3"/>
        <v>1.2</v>
      </c>
      <c r="AC19" s="773">
        <f t="shared" ref="AC19:AC20" si="4">AVERAGE(X19,V19,T19,R19,P19)</f>
        <v>0.4</v>
      </c>
    </row>
    <row r="20" spans="2:29" ht="12" x14ac:dyDescent="0.2">
      <c r="B20" s="121" t="s">
        <v>98</v>
      </c>
      <c r="C20" s="477"/>
      <c r="D20" s="478"/>
      <c r="E20" s="479"/>
      <c r="F20" s="480"/>
      <c r="G20" s="477"/>
      <c r="H20" s="481"/>
      <c r="I20" s="206">
        <v>0</v>
      </c>
      <c r="J20" s="597">
        <v>5</v>
      </c>
      <c r="K20" s="278">
        <v>0</v>
      </c>
      <c r="L20" s="100">
        <v>4</v>
      </c>
      <c r="M20" s="278">
        <v>0</v>
      </c>
      <c r="N20" s="97">
        <v>3</v>
      </c>
      <c r="O20" s="384">
        <v>12</v>
      </c>
      <c r="P20" s="97">
        <v>6</v>
      </c>
      <c r="Q20" s="384">
        <v>23</v>
      </c>
      <c r="R20" s="97">
        <v>8</v>
      </c>
      <c r="S20" s="384">
        <v>27</v>
      </c>
      <c r="T20" s="97">
        <v>4</v>
      </c>
      <c r="U20" s="384">
        <v>30</v>
      </c>
      <c r="V20" s="97">
        <v>3</v>
      </c>
      <c r="W20" s="384">
        <v>28</v>
      </c>
      <c r="X20" s="97">
        <v>13</v>
      </c>
      <c r="Y20" s="384">
        <v>21</v>
      </c>
      <c r="Z20" s="1015"/>
      <c r="AA20" s="272"/>
      <c r="AB20" s="662">
        <f t="shared" si="3"/>
        <v>25.8</v>
      </c>
      <c r="AC20" s="773">
        <f t="shared" si="4"/>
        <v>6.8</v>
      </c>
    </row>
    <row r="21" spans="2:29" ht="12" x14ac:dyDescent="0.2">
      <c r="B21" s="285" t="s">
        <v>135</v>
      </c>
      <c r="C21" s="68"/>
      <c r="D21" s="102"/>
      <c r="E21" s="98"/>
      <c r="F21" s="217"/>
      <c r="G21" s="68"/>
      <c r="H21" s="335"/>
      <c r="I21" s="98"/>
      <c r="J21" s="262"/>
      <c r="K21" s="596"/>
      <c r="L21" s="30"/>
      <c r="M21" s="278"/>
      <c r="N21" s="97"/>
      <c r="O21" s="384"/>
      <c r="P21" s="97"/>
      <c r="Q21" s="384"/>
      <c r="R21" s="97"/>
      <c r="S21" s="384"/>
      <c r="T21" s="97"/>
      <c r="U21" s="384"/>
      <c r="V21" s="97"/>
      <c r="W21" s="384" t="s">
        <v>19</v>
      </c>
      <c r="X21" s="97"/>
      <c r="Y21" s="384"/>
      <c r="Z21" s="1015"/>
      <c r="AA21" s="272"/>
      <c r="AB21" s="662"/>
      <c r="AC21" s="773"/>
    </row>
    <row r="22" spans="2:29" ht="12" x14ac:dyDescent="0.2">
      <c r="B22" s="96" t="s">
        <v>22</v>
      </c>
      <c r="C22" s="68">
        <v>71</v>
      </c>
      <c r="D22" s="102">
        <v>0</v>
      </c>
      <c r="E22" s="98">
        <v>60</v>
      </c>
      <c r="F22" s="827" t="s">
        <v>20</v>
      </c>
      <c r="G22" s="68">
        <v>62</v>
      </c>
      <c r="H22" s="827" t="s">
        <v>20</v>
      </c>
      <c r="I22" s="206">
        <v>77</v>
      </c>
      <c r="J22" s="829" t="s">
        <v>20</v>
      </c>
      <c r="K22" s="596">
        <v>83</v>
      </c>
      <c r="L22" s="829" t="s">
        <v>20</v>
      </c>
      <c r="M22" s="278">
        <f>92+2</f>
        <v>94</v>
      </c>
      <c r="N22" s="830" t="s">
        <v>20</v>
      </c>
      <c r="O22" s="278">
        <f>95+3</f>
        <v>98</v>
      </c>
      <c r="P22" s="830" t="s">
        <v>20</v>
      </c>
      <c r="Q22" s="278">
        <v>79</v>
      </c>
      <c r="R22" s="946" t="s">
        <v>166</v>
      </c>
      <c r="S22" s="278">
        <v>79</v>
      </c>
      <c r="T22" s="946" t="s">
        <v>166</v>
      </c>
      <c r="U22" s="278">
        <v>75</v>
      </c>
      <c r="V22" s="946" t="s">
        <v>166</v>
      </c>
      <c r="W22" s="278">
        <f>45+17</f>
        <v>62</v>
      </c>
      <c r="X22" s="946" t="s">
        <v>166</v>
      </c>
      <c r="Y22" s="278">
        <v>66</v>
      </c>
      <c r="Z22" s="1017"/>
      <c r="AA22" s="272"/>
      <c r="AB22" s="662">
        <f t="shared" si="3"/>
        <v>72.2</v>
      </c>
      <c r="AC22" s="854" t="s">
        <v>20</v>
      </c>
    </row>
    <row r="23" spans="2:29" thickBot="1" x14ac:dyDescent="0.25">
      <c r="B23" s="109" t="s">
        <v>101</v>
      </c>
      <c r="C23" s="216">
        <v>0</v>
      </c>
      <c r="D23" s="522"/>
      <c r="E23" s="239">
        <v>0</v>
      </c>
      <c r="F23" s="748" t="s">
        <v>20</v>
      </c>
      <c r="G23" s="239">
        <v>0</v>
      </c>
      <c r="H23" s="748" t="s">
        <v>20</v>
      </c>
      <c r="I23" s="239">
        <v>0</v>
      </c>
      <c r="J23" s="828" t="s">
        <v>20</v>
      </c>
      <c r="K23" s="29">
        <v>0</v>
      </c>
      <c r="L23" s="828" t="s">
        <v>20</v>
      </c>
      <c r="M23" s="69">
        <v>4</v>
      </c>
      <c r="N23" s="831" t="s">
        <v>20</v>
      </c>
      <c r="O23" s="69">
        <v>15</v>
      </c>
      <c r="P23" s="831" t="s">
        <v>20</v>
      </c>
      <c r="Q23" s="793">
        <v>15</v>
      </c>
      <c r="R23" s="945" t="s">
        <v>166</v>
      </c>
      <c r="S23" s="793">
        <v>6</v>
      </c>
      <c r="T23" s="945" t="s">
        <v>166</v>
      </c>
      <c r="U23" s="793">
        <v>11</v>
      </c>
      <c r="V23" s="945" t="s">
        <v>166</v>
      </c>
      <c r="W23" s="793">
        <v>12</v>
      </c>
      <c r="X23" s="945" t="s">
        <v>166</v>
      </c>
      <c r="Y23" s="793">
        <v>10</v>
      </c>
      <c r="Z23" s="1018"/>
      <c r="AA23" s="272"/>
      <c r="AB23" s="855">
        <f t="shared" si="3"/>
        <v>10.8</v>
      </c>
      <c r="AC23" s="854" t="s">
        <v>20</v>
      </c>
    </row>
    <row r="24" spans="2:29" thickTop="1" x14ac:dyDescent="0.2">
      <c r="B24" s="35" t="s">
        <v>158</v>
      </c>
      <c r="C24" s="202"/>
      <c r="D24" s="200"/>
      <c r="E24" s="202"/>
      <c r="F24" s="34"/>
      <c r="M24" s="95"/>
      <c r="N24" s="95"/>
      <c r="O24" s="95"/>
      <c r="P24" s="95"/>
      <c r="Q24" s="95"/>
      <c r="R24" s="95"/>
      <c r="S24" s="95"/>
      <c r="T24" s="95"/>
      <c r="U24" s="95"/>
      <c r="V24" s="95"/>
      <c r="W24" s="95"/>
      <c r="X24" s="95"/>
      <c r="Y24" s="95"/>
      <c r="Z24" s="95"/>
      <c r="AB24" s="747"/>
      <c r="AC24" s="747"/>
    </row>
    <row r="25" spans="2:29" thickBot="1" x14ac:dyDescent="0.25">
      <c r="B25" s="64" t="s">
        <v>102</v>
      </c>
      <c r="C25" s="4"/>
      <c r="D25" s="34"/>
      <c r="E25" s="4"/>
      <c r="F25" s="34"/>
      <c r="G25" s="1" t="s">
        <v>19</v>
      </c>
      <c r="M25" s="95"/>
      <c r="N25" s="95"/>
      <c r="O25" s="95" t="s">
        <v>19</v>
      </c>
      <c r="P25" s="95"/>
      <c r="Q25" s="95"/>
      <c r="R25" s="95"/>
      <c r="S25" s="95"/>
      <c r="T25" s="95"/>
      <c r="U25" s="95"/>
      <c r="V25" s="95"/>
      <c r="W25" s="95"/>
      <c r="X25" s="95"/>
      <c r="Y25" s="95"/>
      <c r="Z25" s="95"/>
    </row>
    <row r="26" spans="2:29" ht="14.25" customHeight="1" thickTop="1" thickBot="1" x14ac:dyDescent="0.25">
      <c r="B26" s="15"/>
      <c r="C26" s="1292" t="s">
        <v>27</v>
      </c>
      <c r="D26" s="1293"/>
      <c r="E26" s="1294" t="s">
        <v>28</v>
      </c>
      <c r="F26" s="1294"/>
      <c r="G26" s="1289" t="s">
        <v>83</v>
      </c>
      <c r="H26" s="1290"/>
      <c r="I26" s="1250" t="s">
        <v>93</v>
      </c>
      <c r="J26" s="1250"/>
      <c r="K26" s="1267" t="s">
        <v>94</v>
      </c>
      <c r="L26" s="1250"/>
      <c r="M26" s="1267" t="s">
        <v>100</v>
      </c>
      <c r="N26" s="1251"/>
      <c r="O26" s="1250" t="s">
        <v>143</v>
      </c>
      <c r="P26" s="1251"/>
      <c r="Q26" s="1250" t="s">
        <v>149</v>
      </c>
      <c r="R26" s="1251"/>
      <c r="S26" s="1250" t="s">
        <v>167</v>
      </c>
      <c r="T26" s="1251"/>
      <c r="U26" s="1250" t="s">
        <v>181</v>
      </c>
      <c r="V26" s="1251"/>
      <c r="W26" s="1250" t="s">
        <v>194</v>
      </c>
      <c r="X26" s="1251"/>
      <c r="Y26" s="1250" t="s">
        <v>203</v>
      </c>
      <c r="Z26" s="1251"/>
      <c r="AB26" s="1284" t="s">
        <v>133</v>
      </c>
      <c r="AC26" s="1285"/>
    </row>
    <row r="27" spans="2:29" ht="12" x14ac:dyDescent="0.2">
      <c r="B27" s="14" t="s">
        <v>8</v>
      </c>
      <c r="C27" s="129"/>
      <c r="D27" s="130"/>
      <c r="E27" s="140"/>
      <c r="F27" s="31"/>
      <c r="G27" s="779"/>
      <c r="H27" s="776"/>
      <c r="I27" s="231"/>
      <c r="J27" s="308"/>
      <c r="K27" s="231"/>
      <c r="L27" s="308"/>
      <c r="M27" s="231"/>
      <c r="N27" s="316"/>
      <c r="O27" s="231"/>
      <c r="P27" s="316"/>
      <c r="Q27" s="308"/>
      <c r="R27" s="316"/>
      <c r="S27" s="308"/>
      <c r="T27" s="316"/>
      <c r="U27" s="308"/>
      <c r="V27" s="316"/>
      <c r="W27" s="308"/>
      <c r="X27" s="316"/>
      <c r="Y27" s="308"/>
      <c r="Z27" s="316"/>
      <c r="AB27" s="639"/>
      <c r="AC27" s="638"/>
    </row>
    <row r="28" spans="2:29" ht="12" x14ac:dyDescent="0.2">
      <c r="B28" s="5" t="s">
        <v>9</v>
      </c>
      <c r="C28" s="131"/>
      <c r="D28" s="132"/>
      <c r="E28" s="131"/>
      <c r="F28" s="32"/>
      <c r="G28" s="242"/>
      <c r="H28" s="304"/>
      <c r="I28" s="209"/>
      <c r="J28" s="284"/>
      <c r="K28" s="209"/>
      <c r="L28" s="284"/>
      <c r="M28" s="209"/>
      <c r="N28" s="313"/>
      <c r="O28" s="209"/>
      <c r="P28" s="313"/>
      <c r="Q28" s="284"/>
      <c r="R28" s="313"/>
      <c r="S28" s="284"/>
      <c r="T28" s="313"/>
      <c r="U28" s="284"/>
      <c r="V28" s="313"/>
      <c r="W28" s="284"/>
      <c r="X28" s="313"/>
      <c r="Y28" s="284"/>
      <c r="Z28" s="313"/>
      <c r="AB28" s="636"/>
      <c r="AC28" s="648"/>
    </row>
    <row r="29" spans="2:29" ht="12" x14ac:dyDescent="0.2">
      <c r="B29" s="5" t="s">
        <v>10</v>
      </c>
      <c r="C29" s="131"/>
      <c r="D29" s="133">
        <v>0</v>
      </c>
      <c r="E29" s="131"/>
      <c r="F29" s="33">
        <v>0</v>
      </c>
      <c r="G29" s="242"/>
      <c r="H29" s="212">
        <v>0</v>
      </c>
      <c r="I29" s="209"/>
      <c r="J29" s="211">
        <v>0</v>
      </c>
      <c r="K29" s="209"/>
      <c r="L29" s="211">
        <v>12</v>
      </c>
      <c r="M29" s="209"/>
      <c r="N29" s="212">
        <v>31</v>
      </c>
      <c r="O29" s="209"/>
      <c r="P29" s="212">
        <v>26</v>
      </c>
      <c r="Q29" s="284"/>
      <c r="R29" s="212">
        <v>46</v>
      </c>
      <c r="S29" s="284"/>
      <c r="T29" s="212">
        <v>54</v>
      </c>
      <c r="U29" s="284"/>
      <c r="V29" s="212">
        <v>56</v>
      </c>
      <c r="W29" s="284"/>
      <c r="X29" s="212">
        <v>512</v>
      </c>
      <c r="Y29" s="284"/>
      <c r="Z29" s="1019"/>
      <c r="AB29" s="640"/>
      <c r="AC29" s="238">
        <f t="shared" ref="AC29:AC33" si="5">AVERAGE(X29,V29,T29,R29,Z29)</f>
        <v>167</v>
      </c>
    </row>
    <row r="30" spans="2:29" ht="12" x14ac:dyDescent="0.2">
      <c r="B30" s="5" t="s">
        <v>11</v>
      </c>
      <c r="C30" s="131"/>
      <c r="D30" s="164">
        <v>987</v>
      </c>
      <c r="E30" s="131"/>
      <c r="F30" s="158">
        <v>772</v>
      </c>
      <c r="G30" s="242"/>
      <c r="H30" s="777">
        <v>1263</v>
      </c>
      <c r="I30" s="209"/>
      <c r="J30" s="424">
        <v>1842</v>
      </c>
      <c r="K30" s="209"/>
      <c r="L30" s="424">
        <f>759+969</f>
        <v>1728</v>
      </c>
      <c r="M30" s="209"/>
      <c r="N30" s="777">
        <v>1663</v>
      </c>
      <c r="O30" s="209"/>
      <c r="P30" s="777">
        <v>2045</v>
      </c>
      <c r="Q30" s="284"/>
      <c r="R30" s="777">
        <v>1754</v>
      </c>
      <c r="S30" s="284"/>
      <c r="T30" s="777">
        <v>2352</v>
      </c>
      <c r="U30" s="284"/>
      <c r="V30" s="777">
        <v>2014</v>
      </c>
      <c r="W30" s="284"/>
      <c r="X30" s="777">
        <v>2017</v>
      </c>
      <c r="Y30" s="284"/>
      <c r="Z30" s="1021"/>
      <c r="AB30" s="640"/>
      <c r="AC30" s="238">
        <f t="shared" si="5"/>
        <v>2034.25</v>
      </c>
    </row>
    <row r="31" spans="2:29" ht="12" x14ac:dyDescent="0.2">
      <c r="B31" s="5" t="s">
        <v>12</v>
      </c>
      <c r="C31" s="131"/>
      <c r="D31" s="133">
        <v>0</v>
      </c>
      <c r="E31" s="131"/>
      <c r="F31" s="33">
        <v>21</v>
      </c>
      <c r="G31" s="242"/>
      <c r="H31" s="212">
        <v>18</v>
      </c>
      <c r="I31" s="209"/>
      <c r="J31" s="211">
        <v>27</v>
      </c>
      <c r="K31" s="209"/>
      <c r="L31" s="211">
        <v>18</v>
      </c>
      <c r="M31" s="209"/>
      <c r="N31" s="212">
        <v>180</v>
      </c>
      <c r="O31" s="209"/>
      <c r="P31" s="212">
        <v>144</v>
      </c>
      <c r="Q31" s="284"/>
      <c r="R31" s="212">
        <v>300</v>
      </c>
      <c r="S31" s="284"/>
      <c r="T31" s="212">
        <v>216</v>
      </c>
      <c r="U31" s="284"/>
      <c r="V31" s="212">
        <v>324</v>
      </c>
      <c r="W31" s="284"/>
      <c r="X31" s="212">
        <v>243</v>
      </c>
      <c r="Y31" s="284"/>
      <c r="Z31" s="1019"/>
      <c r="AB31" s="640"/>
      <c r="AC31" s="238">
        <f t="shared" si="5"/>
        <v>270.75</v>
      </c>
    </row>
    <row r="32" spans="2:29" ht="12" x14ac:dyDescent="0.2">
      <c r="B32" s="5" t="s">
        <v>13</v>
      </c>
      <c r="C32" s="131"/>
      <c r="D32" s="133"/>
      <c r="E32" s="131"/>
      <c r="F32" s="33"/>
      <c r="G32" s="242"/>
      <c r="H32" s="212">
        <v>0</v>
      </c>
      <c r="I32" s="209"/>
      <c r="J32" s="211">
        <v>0</v>
      </c>
      <c r="K32" s="209"/>
      <c r="L32" s="211">
        <v>0</v>
      </c>
      <c r="M32" s="209"/>
      <c r="N32" s="212">
        <v>0</v>
      </c>
      <c r="O32" s="209"/>
      <c r="P32" s="212">
        <v>0</v>
      </c>
      <c r="Q32" s="284"/>
      <c r="R32" s="212">
        <v>0</v>
      </c>
      <c r="S32" s="284"/>
      <c r="T32" s="212">
        <v>0</v>
      </c>
      <c r="U32" s="284"/>
      <c r="V32" s="212">
        <v>0</v>
      </c>
      <c r="W32" s="284"/>
      <c r="X32" s="212">
        <v>0</v>
      </c>
      <c r="Y32" s="284"/>
      <c r="Z32" s="1019"/>
      <c r="AB32" s="640"/>
      <c r="AC32" s="238">
        <f t="shared" si="5"/>
        <v>0</v>
      </c>
    </row>
    <row r="33" spans="1:31" thickBot="1" x14ac:dyDescent="0.25">
      <c r="B33" s="49" t="s">
        <v>14</v>
      </c>
      <c r="C33" s="134"/>
      <c r="D33" s="190">
        <f>SUM(D30:D32)</f>
        <v>987</v>
      </c>
      <c r="E33" s="134"/>
      <c r="F33" s="50">
        <f>SUM(F30:F32)</f>
        <v>793</v>
      </c>
      <c r="G33" s="246"/>
      <c r="H33" s="778">
        <f>SUM(H29:H32)</f>
        <v>1281</v>
      </c>
      <c r="I33" s="213"/>
      <c r="J33" s="780">
        <f>SUM(J29:J32)</f>
        <v>1869</v>
      </c>
      <c r="K33" s="213"/>
      <c r="L33" s="780">
        <f>SUM(L29:L32)</f>
        <v>1758</v>
      </c>
      <c r="M33" s="213"/>
      <c r="N33" s="778">
        <f>SUM(N29:N32)</f>
        <v>1874</v>
      </c>
      <c r="O33" s="213"/>
      <c r="P33" s="778">
        <f>SUM(P29:P32)</f>
        <v>2215</v>
      </c>
      <c r="Q33" s="302"/>
      <c r="R33" s="778">
        <f>SUM(R29:R32)</f>
        <v>2100</v>
      </c>
      <c r="S33" s="302"/>
      <c r="T33" s="778">
        <f>SUM(T29:T32)</f>
        <v>2622</v>
      </c>
      <c r="U33" s="302"/>
      <c r="V33" s="778">
        <f>SUM(V29:V32)</f>
        <v>2394</v>
      </c>
      <c r="W33" s="302"/>
      <c r="X33" s="778">
        <f>SUM(X29:X32)</f>
        <v>2772</v>
      </c>
      <c r="Y33" s="302"/>
      <c r="Z33" s="1022">
        <f>SUM(Z29:Z32)</f>
        <v>0</v>
      </c>
      <c r="AB33" s="641"/>
      <c r="AC33" s="842">
        <f t="shared" si="5"/>
        <v>1977.6</v>
      </c>
    </row>
    <row r="34" spans="1:31" ht="14.25" thickTop="1" thickBot="1" x14ac:dyDescent="0.25">
      <c r="A34" s="272"/>
      <c r="B34" s="576" t="s">
        <v>124</v>
      </c>
      <c r="C34" s="1282" t="s">
        <v>29</v>
      </c>
      <c r="D34" s="1295"/>
      <c r="E34" s="1282" t="s">
        <v>30</v>
      </c>
      <c r="F34" s="1295"/>
      <c r="G34" s="1280" t="s">
        <v>120</v>
      </c>
      <c r="H34" s="1253"/>
      <c r="I34" s="1280" t="s">
        <v>121</v>
      </c>
      <c r="J34" s="1291"/>
      <c r="K34" s="1280" t="s">
        <v>122</v>
      </c>
      <c r="L34" s="1291"/>
      <c r="M34" s="1269" t="s">
        <v>123</v>
      </c>
      <c r="N34" s="1253"/>
      <c r="O34" s="1252" t="s">
        <v>144</v>
      </c>
      <c r="P34" s="1253"/>
      <c r="Q34" s="1252" t="s">
        <v>150</v>
      </c>
      <c r="R34" s="1253"/>
      <c r="S34" s="1252" t="s">
        <v>164</v>
      </c>
      <c r="T34" s="1253"/>
      <c r="U34" s="1252" t="s">
        <v>182</v>
      </c>
      <c r="V34" s="1253"/>
      <c r="W34" s="1252" t="s">
        <v>195</v>
      </c>
      <c r="X34" s="1253"/>
      <c r="Y34" s="1252" t="s">
        <v>204</v>
      </c>
      <c r="Z34" s="1253"/>
      <c r="AA34" s="664"/>
      <c r="AB34" s="1259" t="s">
        <v>133</v>
      </c>
      <c r="AC34" s="1260"/>
      <c r="AD34" s="283"/>
      <c r="AE34" s="283"/>
    </row>
    <row r="35" spans="1:31" x14ac:dyDescent="0.2">
      <c r="A35" s="272"/>
      <c r="B35" s="577" t="s">
        <v>107</v>
      </c>
      <c r="C35" s="1297"/>
      <c r="D35" s="1298"/>
      <c r="E35" s="1299"/>
      <c r="F35" s="1300"/>
      <c r="G35" s="1287"/>
      <c r="H35" s="1288"/>
      <c r="I35" s="1287"/>
      <c r="J35" s="1288"/>
      <c r="K35" s="578"/>
      <c r="L35" s="579">
        <v>0</v>
      </c>
      <c r="M35" s="580"/>
      <c r="N35" s="796">
        <v>0</v>
      </c>
      <c r="O35" s="794"/>
      <c r="P35" s="796">
        <v>0</v>
      </c>
      <c r="Q35" s="794"/>
      <c r="R35" s="796">
        <v>0</v>
      </c>
      <c r="S35" s="794"/>
      <c r="T35" s="796">
        <v>0</v>
      </c>
      <c r="U35" s="794"/>
      <c r="V35" s="796">
        <v>2.9000000000000001E-2</v>
      </c>
      <c r="W35" s="794"/>
      <c r="X35" s="796">
        <v>1.9E-2</v>
      </c>
      <c r="Y35" s="794"/>
      <c r="Z35" s="796">
        <v>5.6000000000000001E-2</v>
      </c>
      <c r="AA35" s="851"/>
      <c r="AB35" s="651"/>
      <c r="AC35" s="581">
        <f t="shared" ref="AC35:AC37" si="6">AVERAGE(X35,V35,T35,R35,Z35)</f>
        <v>2.0800000000000003E-2</v>
      </c>
      <c r="AD35" s="283"/>
      <c r="AE35" s="283"/>
    </row>
    <row r="36" spans="1:31" x14ac:dyDescent="0.2">
      <c r="A36" s="272"/>
      <c r="B36" s="582" t="s">
        <v>108</v>
      </c>
      <c r="C36" s="1301"/>
      <c r="D36" s="1300"/>
      <c r="E36" s="1274"/>
      <c r="F36" s="1275"/>
      <c r="G36" s="1276"/>
      <c r="H36" s="1277"/>
      <c r="I36" s="1276"/>
      <c r="J36" s="1277"/>
      <c r="K36" s="583"/>
      <c r="L36" s="584">
        <v>0</v>
      </c>
      <c r="M36" s="583"/>
      <c r="N36" s="797">
        <v>0</v>
      </c>
      <c r="O36" s="795"/>
      <c r="P36" s="797">
        <v>0</v>
      </c>
      <c r="Q36" s="795"/>
      <c r="R36" s="797">
        <v>0</v>
      </c>
      <c r="S36" s="795"/>
      <c r="T36" s="797">
        <v>0</v>
      </c>
      <c r="U36" s="795"/>
      <c r="V36" s="797">
        <v>0.112</v>
      </c>
      <c r="W36" s="795"/>
      <c r="X36" s="797">
        <v>7.5999999999999998E-2</v>
      </c>
      <c r="Y36" s="795"/>
      <c r="Z36" s="797">
        <v>7.0999999999999994E-2</v>
      </c>
      <c r="AA36" s="851"/>
      <c r="AB36" s="652"/>
      <c r="AC36" s="585">
        <f t="shared" si="6"/>
        <v>5.1799999999999999E-2</v>
      </c>
      <c r="AD36" s="283"/>
      <c r="AE36" s="283"/>
    </row>
    <row r="37" spans="1:31" ht="13.5" thickBot="1" x14ac:dyDescent="0.25">
      <c r="B37" s="586" t="s">
        <v>109</v>
      </c>
      <c r="C37" s="1257">
        <f>1-SUM(C35:D36)</f>
        <v>1</v>
      </c>
      <c r="D37" s="1296"/>
      <c r="E37" s="1257">
        <f>1-SUM(E35:F36)</f>
        <v>1</v>
      </c>
      <c r="F37" s="1258"/>
      <c r="G37" s="1257">
        <f>1-SUM(G35:H36)</f>
        <v>1</v>
      </c>
      <c r="H37" s="1258"/>
      <c r="I37" s="1257">
        <f>1-SUM(I35:J36)</f>
        <v>1</v>
      </c>
      <c r="J37" s="1258"/>
      <c r="K37" s="587"/>
      <c r="L37" s="590">
        <f>1-SUM(L35:L36)</f>
        <v>1</v>
      </c>
      <c r="M37" s="587"/>
      <c r="N37" s="590">
        <f>1-SUM(N35:N36)</f>
        <v>1</v>
      </c>
      <c r="O37" s="587"/>
      <c r="P37" s="590">
        <f>1-SUM(P35:P36)</f>
        <v>1</v>
      </c>
      <c r="Q37" s="802"/>
      <c r="R37" s="590">
        <f>1-R35-R36</f>
        <v>1</v>
      </c>
      <c r="S37" s="802"/>
      <c r="T37" s="590">
        <f>1-T35-T36</f>
        <v>1</v>
      </c>
      <c r="U37" s="802"/>
      <c r="V37" s="590">
        <f>1-V35-V36</f>
        <v>0.85899999999999999</v>
      </c>
      <c r="W37" s="802"/>
      <c r="X37" s="590">
        <f>1-X35-X36</f>
        <v>0.90500000000000003</v>
      </c>
      <c r="Y37" s="802"/>
      <c r="Z37" s="590">
        <f>1-Z35-Z36</f>
        <v>0.873</v>
      </c>
      <c r="AA37" s="851"/>
      <c r="AB37" s="588"/>
      <c r="AC37" s="589">
        <f t="shared" si="6"/>
        <v>0.92740000000000011</v>
      </c>
      <c r="AD37" s="283"/>
      <c r="AE37" s="283"/>
    </row>
    <row r="38" spans="1:31" ht="10.5" customHeight="1" thickTop="1" x14ac:dyDescent="0.2">
      <c r="B38" s="83"/>
      <c r="C38" s="84"/>
      <c r="D38" s="85"/>
      <c r="E38" s="84"/>
      <c r="F38" s="85"/>
      <c r="G38" s="235"/>
      <c r="H38" s="236"/>
      <c r="I38" s="235"/>
      <c r="J38" s="236"/>
      <c r="AC38" s="747"/>
    </row>
    <row r="39" spans="1:31" x14ac:dyDescent="0.2">
      <c r="A39" s="86" t="s">
        <v>37</v>
      </c>
      <c r="B39" s="70"/>
      <c r="C39" s="4"/>
      <c r="D39" s="4"/>
      <c r="E39" s="4"/>
      <c r="F39" s="4"/>
      <c r="G39" s="202"/>
      <c r="H39" s="202"/>
      <c r="I39" s="202"/>
      <c r="J39" s="202"/>
      <c r="AA39" s="1" t="s">
        <v>19</v>
      </c>
    </row>
    <row r="40" spans="1:31" ht="6" customHeight="1" thickBot="1" x14ac:dyDescent="0.25">
      <c r="A40" s="86"/>
      <c r="B40" s="70"/>
      <c r="C40" s="4"/>
      <c r="D40" s="4"/>
      <c r="E40" s="4"/>
      <c r="F40" s="4"/>
      <c r="G40" s="202"/>
      <c r="H40" s="202"/>
      <c r="I40" s="202"/>
      <c r="J40" s="202"/>
    </row>
    <row r="41" spans="1:31" ht="14.25" thickTop="1" thickBot="1" x14ac:dyDescent="0.25">
      <c r="A41" s="3"/>
      <c r="B41" s="128" t="s">
        <v>38</v>
      </c>
      <c r="C41" s="1292" t="s">
        <v>27</v>
      </c>
      <c r="D41" s="1293"/>
      <c r="E41" s="1292" t="s">
        <v>28</v>
      </c>
      <c r="F41" s="1293"/>
      <c r="G41" s="1286" t="s">
        <v>83</v>
      </c>
      <c r="H41" s="1255"/>
      <c r="I41" s="1286" t="s">
        <v>93</v>
      </c>
      <c r="J41" s="1255"/>
      <c r="K41" s="1286" t="s">
        <v>94</v>
      </c>
      <c r="L41" s="1255"/>
      <c r="M41" s="1286" t="s">
        <v>100</v>
      </c>
      <c r="N41" s="1255"/>
      <c r="O41" s="1254" t="s">
        <v>143</v>
      </c>
      <c r="P41" s="1255"/>
      <c r="Q41" s="1254" t="s">
        <v>149</v>
      </c>
      <c r="R41" s="1255"/>
      <c r="S41" s="1254" t="s">
        <v>167</v>
      </c>
      <c r="T41" s="1255"/>
      <c r="U41" s="1254" t="s">
        <v>181</v>
      </c>
      <c r="V41" s="1255"/>
      <c r="W41" s="1254" t="s">
        <v>194</v>
      </c>
      <c r="X41" s="1255"/>
      <c r="Y41" s="1254" t="s">
        <v>203</v>
      </c>
      <c r="Z41" s="1255"/>
      <c r="AB41" s="1284" t="s">
        <v>133</v>
      </c>
      <c r="AC41" s="1285"/>
    </row>
    <row r="42" spans="1:31" x14ac:dyDescent="0.2">
      <c r="A42" s="3"/>
      <c r="B42" s="127" t="s">
        <v>39</v>
      </c>
      <c r="C42" s="131"/>
      <c r="D42" s="132"/>
      <c r="E42" s="32"/>
      <c r="F42" s="32"/>
      <c r="G42" s="209"/>
      <c r="H42" s="313"/>
      <c r="I42" s="301"/>
      <c r="J42" s="301"/>
      <c r="K42" s="231"/>
      <c r="L42" s="301"/>
      <c r="M42" s="231"/>
      <c r="N42" s="326"/>
      <c r="O42" s="231"/>
      <c r="P42" s="326"/>
      <c r="Q42" s="308"/>
      <c r="R42" s="326"/>
      <c r="S42" s="308"/>
      <c r="T42" s="326"/>
      <c r="U42" s="308"/>
      <c r="V42" s="326"/>
      <c r="W42" s="308"/>
      <c r="X42" s="326"/>
      <c r="Y42" s="308"/>
      <c r="Z42" s="326"/>
      <c r="AB42" s="624"/>
      <c r="AC42" s="625"/>
    </row>
    <row r="43" spans="1:31" x14ac:dyDescent="0.2">
      <c r="A43" s="3"/>
      <c r="B43" s="88" t="s">
        <v>40</v>
      </c>
      <c r="C43" s="129"/>
      <c r="D43" s="136">
        <f>438823+879066</f>
        <v>1317889</v>
      </c>
      <c r="E43" s="31"/>
      <c r="F43" s="154">
        <f>248955+1229699</f>
        <v>1478654</v>
      </c>
      <c r="G43" s="229"/>
      <c r="H43" s="314">
        <f>364973+1214893</f>
        <v>1579866</v>
      </c>
      <c r="I43" s="301"/>
      <c r="J43" s="353">
        <f>376863+1261705</f>
        <v>1638568</v>
      </c>
      <c r="K43" s="209"/>
      <c r="L43" s="259">
        <f>479224+1389011</f>
        <v>1868235</v>
      </c>
      <c r="M43" s="209"/>
      <c r="N43" s="315">
        <f>1437857+489268</f>
        <v>1927125</v>
      </c>
      <c r="O43" s="209"/>
      <c r="P43" s="315">
        <f>1385203+488622</f>
        <v>1873825</v>
      </c>
      <c r="Q43" s="284"/>
      <c r="R43" s="315">
        <v>2076867</v>
      </c>
      <c r="S43" s="284"/>
      <c r="T43" s="315">
        <v>2114375</v>
      </c>
      <c r="U43" s="284"/>
      <c r="V43" s="315">
        <v>2168277</v>
      </c>
      <c r="W43" s="284"/>
      <c r="X43" s="315">
        <v>2384972</v>
      </c>
      <c r="Y43" s="284"/>
      <c r="Z43" s="315">
        <v>3290857</v>
      </c>
      <c r="AB43" s="636"/>
      <c r="AC43" s="626">
        <f t="shared" ref="AC43:AC46" si="7">AVERAGE(X43,V43,T43,R43,Z43)</f>
        <v>2407069.6</v>
      </c>
    </row>
    <row r="44" spans="1:31" x14ac:dyDescent="0.2">
      <c r="A44" s="3"/>
      <c r="B44" s="88" t="s">
        <v>152</v>
      </c>
      <c r="C44" s="129"/>
      <c r="D44" s="136"/>
      <c r="E44" s="31"/>
      <c r="F44" s="154"/>
      <c r="G44" s="229"/>
      <c r="H44" s="857"/>
      <c r="I44" s="301"/>
      <c r="J44" s="353">
        <v>17646</v>
      </c>
      <c r="K44" s="209"/>
      <c r="L44" s="259">
        <v>18195</v>
      </c>
      <c r="M44" s="209"/>
      <c r="N44" s="315">
        <v>18691</v>
      </c>
      <c r="O44" s="209"/>
      <c r="P44" s="315">
        <v>18707</v>
      </c>
      <c r="Q44" s="284"/>
      <c r="R44" s="315">
        <v>18902</v>
      </c>
      <c r="S44" s="284"/>
      <c r="T44" s="315">
        <v>19075</v>
      </c>
      <c r="U44" s="284"/>
      <c r="V44" s="315">
        <v>19615</v>
      </c>
      <c r="W44" s="284"/>
      <c r="X44" s="315">
        <v>19726</v>
      </c>
      <c r="Y44" s="284"/>
      <c r="Z44" s="315">
        <v>20711</v>
      </c>
      <c r="AB44" s="636"/>
      <c r="AC44" s="626">
        <f t="shared" si="7"/>
        <v>19605.8</v>
      </c>
    </row>
    <row r="45" spans="1:31" ht="36" x14ac:dyDescent="0.2">
      <c r="A45" s="3"/>
      <c r="B45" s="103" t="s">
        <v>153</v>
      </c>
      <c r="C45" s="131"/>
      <c r="D45" s="137">
        <f>548353+44092</f>
        <v>592445</v>
      </c>
      <c r="E45" s="32"/>
      <c r="F45" s="155">
        <f>569944</f>
        <v>569944</v>
      </c>
      <c r="G45" s="209"/>
      <c r="H45" s="315">
        <f>618945+2149156</f>
        <v>2768101</v>
      </c>
      <c r="I45" s="284"/>
      <c r="J45" s="259">
        <v>2811883</v>
      </c>
      <c r="K45" s="209"/>
      <c r="L45" s="259">
        <v>2901422</v>
      </c>
      <c r="M45" s="209"/>
      <c r="N45" s="315">
        <v>2947029</v>
      </c>
      <c r="O45" s="209"/>
      <c r="P45" s="315">
        <v>5532876</v>
      </c>
      <c r="Q45" s="284"/>
      <c r="R45" s="315">
        <v>15499896</v>
      </c>
      <c r="S45" s="284"/>
      <c r="T45" s="315">
        <v>15435613</v>
      </c>
      <c r="U45" s="284"/>
      <c r="V45" s="315">
        <v>15520756</v>
      </c>
      <c r="W45" s="284"/>
      <c r="X45" s="315">
        <v>14047846</v>
      </c>
      <c r="Y45" s="284"/>
      <c r="Z45" s="315">
        <v>14034547</v>
      </c>
      <c r="AB45" s="636"/>
      <c r="AC45" s="626">
        <f t="shared" si="7"/>
        <v>14907731.6</v>
      </c>
    </row>
    <row r="46" spans="1:31" x14ac:dyDescent="0.2">
      <c r="A46" s="3"/>
      <c r="B46" s="89" t="s">
        <v>41</v>
      </c>
      <c r="C46" s="138"/>
      <c r="D46" s="139">
        <f>SUM(D43:D45)</f>
        <v>1910334</v>
      </c>
      <c r="E46" s="90"/>
      <c r="F46" s="156">
        <f>SUM(F43:F45)</f>
        <v>2048598</v>
      </c>
      <c r="G46" s="230"/>
      <c r="H46" s="336">
        <f>SUM(H43:H45)</f>
        <v>4347967</v>
      </c>
      <c r="I46" s="307"/>
      <c r="J46" s="354">
        <f>SUM(J43:J45)</f>
        <v>4468097</v>
      </c>
      <c r="K46" s="230"/>
      <c r="L46" s="354">
        <f>SUM(L43:L45)</f>
        <v>4787852</v>
      </c>
      <c r="M46" s="230"/>
      <c r="N46" s="336">
        <f>SUM(N43:N45)</f>
        <v>4892845</v>
      </c>
      <c r="O46" s="230"/>
      <c r="P46" s="336">
        <f>SUM(P43:P45)</f>
        <v>7425408</v>
      </c>
      <c r="Q46" s="307"/>
      <c r="R46" s="336">
        <f>SUM(R43:R45)</f>
        <v>17595665</v>
      </c>
      <c r="S46" s="307"/>
      <c r="T46" s="336">
        <f>SUM(T43:T45)</f>
        <v>17569063</v>
      </c>
      <c r="U46" s="307"/>
      <c r="V46" s="336">
        <f>SUM(V43:V45)</f>
        <v>17708648</v>
      </c>
      <c r="W46" s="307"/>
      <c r="X46" s="336">
        <f>SUM(X43:X45)</f>
        <v>16452544</v>
      </c>
      <c r="Y46" s="307"/>
      <c r="Z46" s="336">
        <f>SUM(Z43:Z45)</f>
        <v>17346115</v>
      </c>
      <c r="AB46" s="614"/>
      <c r="AC46" s="627">
        <f t="shared" si="7"/>
        <v>17334407</v>
      </c>
    </row>
    <row r="47" spans="1:31" x14ac:dyDescent="0.2">
      <c r="A47" s="3"/>
      <c r="B47" s="87" t="s">
        <v>42</v>
      </c>
      <c r="C47" s="131"/>
      <c r="D47" s="137"/>
      <c r="E47" s="32"/>
      <c r="F47" s="155"/>
      <c r="G47" s="209"/>
      <c r="H47" s="315"/>
      <c r="I47" s="284"/>
      <c r="J47" s="259"/>
      <c r="K47" s="209"/>
      <c r="L47" s="259"/>
      <c r="M47" s="209"/>
      <c r="N47" s="315"/>
      <c r="O47" s="209"/>
      <c r="P47" s="315"/>
      <c r="Q47" s="284"/>
      <c r="R47" s="315"/>
      <c r="S47" s="284"/>
      <c r="T47" s="315"/>
      <c r="U47" s="284"/>
      <c r="V47" s="315"/>
      <c r="W47" s="284"/>
      <c r="X47" s="315"/>
      <c r="Y47" s="284"/>
      <c r="Z47" s="315"/>
      <c r="AB47" s="636"/>
      <c r="AC47" s="626"/>
    </row>
    <row r="48" spans="1:31" x14ac:dyDescent="0.2">
      <c r="A48" s="3"/>
      <c r="B48" s="402" t="s">
        <v>40</v>
      </c>
      <c r="C48" s="32"/>
      <c r="D48" s="155">
        <v>6068</v>
      </c>
      <c r="E48" s="209"/>
      <c r="F48" s="315">
        <v>6068</v>
      </c>
      <c r="G48" s="284"/>
      <c r="H48" s="315">
        <f>6068</f>
        <v>6068</v>
      </c>
      <c r="I48" s="284"/>
      <c r="J48" s="259">
        <f>6068</f>
        <v>6068</v>
      </c>
      <c r="K48" s="209"/>
      <c r="L48" s="259">
        <v>6068</v>
      </c>
      <c r="M48" s="209"/>
      <c r="N48" s="315">
        <v>6068</v>
      </c>
      <c r="O48" s="209"/>
      <c r="P48" s="315">
        <v>6068</v>
      </c>
      <c r="Q48" s="284"/>
      <c r="R48" s="315">
        <v>6068</v>
      </c>
      <c r="S48" s="284"/>
      <c r="T48" s="315">
        <v>6068</v>
      </c>
      <c r="U48" s="284"/>
      <c r="V48" s="315">
        <v>6068</v>
      </c>
      <c r="W48" s="284"/>
      <c r="X48" s="315">
        <v>16375</v>
      </c>
      <c r="Y48" s="284"/>
      <c r="Z48" s="315">
        <v>16640</v>
      </c>
      <c r="AB48" s="636"/>
      <c r="AC48" s="626">
        <f t="shared" ref="AC48" si="8">AVERAGE(X48,V48,T48,R48,Z48)</f>
        <v>10243.799999999999</v>
      </c>
    </row>
    <row r="49" spans="1:30" x14ac:dyDescent="0.2">
      <c r="A49" s="3"/>
      <c r="B49" s="402" t="s">
        <v>152</v>
      </c>
      <c r="C49" s="32"/>
      <c r="D49" s="155"/>
      <c r="E49" s="209"/>
      <c r="F49" s="315"/>
      <c r="G49" s="284"/>
      <c r="H49" s="858"/>
      <c r="I49" s="284"/>
      <c r="J49" s="259"/>
      <c r="K49" s="209"/>
      <c r="L49" s="259"/>
      <c r="M49" s="209"/>
      <c r="N49" s="315"/>
      <c r="O49" s="209"/>
      <c r="P49" s="315"/>
      <c r="Q49" s="284"/>
      <c r="R49" s="315"/>
      <c r="S49" s="284"/>
      <c r="T49" s="315"/>
      <c r="U49" s="284"/>
      <c r="V49" s="315"/>
      <c r="W49" s="284"/>
      <c r="X49" s="315"/>
      <c r="Y49" s="284"/>
      <c r="Z49" s="315"/>
      <c r="AB49" s="614"/>
      <c r="AC49" s="626"/>
    </row>
    <row r="50" spans="1:30" ht="36" x14ac:dyDescent="0.2">
      <c r="A50" s="3"/>
      <c r="B50" s="403" t="s">
        <v>153</v>
      </c>
      <c r="C50" s="32"/>
      <c r="D50" s="155">
        <v>68434</v>
      </c>
      <c r="E50" s="209"/>
      <c r="F50" s="315">
        <v>2460418</v>
      </c>
      <c r="G50" s="284"/>
      <c r="H50" s="315">
        <f>3807787</f>
        <v>3807787</v>
      </c>
      <c r="I50" s="284"/>
      <c r="J50" s="259">
        <f>3986469</f>
        <v>3986469</v>
      </c>
      <c r="K50" s="209"/>
      <c r="L50" s="259">
        <v>3987105</v>
      </c>
      <c r="M50" s="209"/>
      <c r="N50" s="315">
        <v>3977393</v>
      </c>
      <c r="O50" s="209"/>
      <c r="P50" s="315">
        <v>4043464</v>
      </c>
      <c r="Q50" s="284"/>
      <c r="R50" s="315">
        <v>4050550</v>
      </c>
      <c r="S50" s="284"/>
      <c r="T50" s="315">
        <v>3972839</v>
      </c>
      <c r="U50" s="284"/>
      <c r="V50" s="315">
        <v>3972608</v>
      </c>
      <c r="W50" s="284"/>
      <c r="X50" s="315">
        <v>3942431</v>
      </c>
      <c r="Y50" s="284"/>
      <c r="Z50" s="315">
        <v>3941228</v>
      </c>
      <c r="AB50" s="614"/>
      <c r="AC50" s="626">
        <f t="shared" ref="AC50:AC52" si="9">AVERAGE(X50,V50,T50,R50,Z50)</f>
        <v>3975931.2</v>
      </c>
    </row>
    <row r="51" spans="1:30" x14ac:dyDescent="0.2">
      <c r="A51" s="3"/>
      <c r="B51" s="89" t="s">
        <v>43</v>
      </c>
      <c r="C51" s="138"/>
      <c r="D51" s="139">
        <f>SUM(D48:D50)</f>
        <v>74502</v>
      </c>
      <c r="E51" s="90"/>
      <c r="F51" s="156">
        <f>SUM(F48:F50)</f>
        <v>2466486</v>
      </c>
      <c r="G51" s="230"/>
      <c r="H51" s="139">
        <f>SUM(H48:H50)</f>
        <v>3813855</v>
      </c>
      <c r="I51" s="307"/>
      <c r="J51" s="354">
        <f>SUM(J48:J50)</f>
        <v>3992537</v>
      </c>
      <c r="K51" s="230"/>
      <c r="L51" s="354">
        <f>SUM(L48:L50)</f>
        <v>3993173</v>
      </c>
      <c r="M51" s="230"/>
      <c r="N51" s="336">
        <f>SUM(N48:N50)</f>
        <v>3983461</v>
      </c>
      <c r="O51" s="230"/>
      <c r="P51" s="336">
        <f>SUM(P48:P50)</f>
        <v>4049532</v>
      </c>
      <c r="Q51" s="307"/>
      <c r="R51" s="336">
        <f>SUM(R48:R50)</f>
        <v>4056618</v>
      </c>
      <c r="S51" s="307"/>
      <c r="T51" s="336">
        <f>SUM(T48:T50)</f>
        <v>3978907</v>
      </c>
      <c r="U51" s="307"/>
      <c r="V51" s="336">
        <f>SUM(V48:V50)</f>
        <v>3978676</v>
      </c>
      <c r="W51" s="307"/>
      <c r="X51" s="336">
        <f>SUM(X48:X50)</f>
        <v>3958806</v>
      </c>
      <c r="Y51" s="307"/>
      <c r="Z51" s="336">
        <f>SUM(Z48:Z50)</f>
        <v>3957868</v>
      </c>
      <c r="AB51" s="614"/>
      <c r="AC51" s="627">
        <f t="shared" si="9"/>
        <v>3986175</v>
      </c>
    </row>
    <row r="52" spans="1:30" ht="13.5" thickBot="1" x14ac:dyDescent="0.25">
      <c r="A52" s="3"/>
      <c r="B52" s="91" t="s">
        <v>44</v>
      </c>
      <c r="C52" s="131"/>
      <c r="D52" s="139">
        <f>SUM(D46,D51)</f>
        <v>1984836</v>
      </c>
      <c r="E52" s="32"/>
      <c r="F52" s="156">
        <f>SUM(F46,F51)</f>
        <v>4515084</v>
      </c>
      <c r="G52" s="209"/>
      <c r="H52" s="337">
        <f>SUM(H46,H51)</f>
        <v>8161822</v>
      </c>
      <c r="I52" s="284"/>
      <c r="J52" s="355">
        <f>SUM(J46,J51)</f>
        <v>8460634</v>
      </c>
      <c r="K52" s="781"/>
      <c r="L52" s="355">
        <f>SUM(L46,L51)</f>
        <v>8781025</v>
      </c>
      <c r="M52" s="781"/>
      <c r="N52" s="782">
        <f>SUM(N46,N51)</f>
        <v>8876306</v>
      </c>
      <c r="O52" s="781"/>
      <c r="P52" s="782">
        <f>SUM(P46,P51)</f>
        <v>11474940</v>
      </c>
      <c r="Q52" s="852"/>
      <c r="R52" s="782">
        <f>SUM(R46,R51)</f>
        <v>21652283</v>
      </c>
      <c r="S52" s="852"/>
      <c r="T52" s="782">
        <f>SUM(T46,T51)</f>
        <v>21547970</v>
      </c>
      <c r="U52" s="852"/>
      <c r="V52" s="782">
        <f>SUM(V46,V51)</f>
        <v>21687324</v>
      </c>
      <c r="W52" s="852"/>
      <c r="X52" s="782">
        <f>SUM(X46,X51)</f>
        <v>20411350</v>
      </c>
      <c r="Y52" s="852"/>
      <c r="Z52" s="782">
        <f>SUM(Z46,Z51)</f>
        <v>21303983</v>
      </c>
      <c r="AB52" s="628"/>
      <c r="AC52" s="859">
        <f t="shared" si="9"/>
        <v>21320582</v>
      </c>
    </row>
    <row r="53" spans="1:30" ht="12" x14ac:dyDescent="0.2">
      <c r="B53" s="92" t="s">
        <v>156</v>
      </c>
      <c r="C53" s="140"/>
      <c r="D53" s="141"/>
      <c r="E53" s="93"/>
      <c r="F53" s="93"/>
      <c r="G53" s="231"/>
      <c r="H53" s="316"/>
      <c r="I53" s="308"/>
      <c r="J53" s="308"/>
      <c r="K53" s="231"/>
      <c r="L53" s="308"/>
      <c r="M53" s="231"/>
      <c r="N53" s="316"/>
      <c r="O53" s="231"/>
      <c r="P53" s="316"/>
      <c r="Q53" s="308"/>
      <c r="R53" s="316"/>
      <c r="S53" s="308"/>
      <c r="T53" s="316"/>
      <c r="U53" s="308"/>
      <c r="V53" s="316"/>
      <c r="W53" s="308"/>
      <c r="X53" s="316"/>
      <c r="Y53" s="308"/>
      <c r="Z53" s="316"/>
      <c r="AB53" s="614"/>
      <c r="AC53" s="678"/>
    </row>
    <row r="54" spans="1:30" ht="12" x14ac:dyDescent="0.2">
      <c r="B54" s="5" t="s">
        <v>15</v>
      </c>
      <c r="C54" s="142"/>
      <c r="D54" s="143">
        <v>266179</v>
      </c>
      <c r="E54" s="58"/>
      <c r="F54" s="275">
        <v>521694</v>
      </c>
      <c r="G54" s="232"/>
      <c r="H54" s="344">
        <v>55657.27</v>
      </c>
      <c r="I54" s="309"/>
      <c r="J54" s="275">
        <v>40731.980000000003</v>
      </c>
      <c r="K54" s="232"/>
      <c r="L54" s="275">
        <f>24922+9050</f>
        <v>33972</v>
      </c>
      <c r="M54" s="232"/>
      <c r="N54" s="690">
        <v>55077</v>
      </c>
      <c r="O54" s="232"/>
      <c r="P54" s="900">
        <v>66052</v>
      </c>
      <c r="Q54" s="899"/>
      <c r="R54" s="900">
        <v>57020</v>
      </c>
      <c r="S54" s="899"/>
      <c r="T54" s="900">
        <v>51137</v>
      </c>
      <c r="U54" s="899"/>
      <c r="V54" s="900">
        <v>53408</v>
      </c>
      <c r="W54" s="899"/>
      <c r="X54" s="900">
        <v>15987.2</v>
      </c>
      <c r="Y54" s="899"/>
      <c r="Z54" s="1037"/>
      <c r="AB54" s="636"/>
      <c r="AC54" s="631">
        <f>AVERAGE(X54,V54,T54,R54,P54)</f>
        <v>48720.840000000004</v>
      </c>
    </row>
    <row r="55" spans="1:30" ht="12" x14ac:dyDescent="0.2">
      <c r="B55" s="36" t="s">
        <v>16</v>
      </c>
      <c r="C55" s="144"/>
      <c r="D55" s="145">
        <f>43180+2000</f>
        <v>45180</v>
      </c>
      <c r="E55" s="59"/>
      <c r="F55" s="276">
        <f>45198+2903</f>
        <v>48101</v>
      </c>
      <c r="G55" s="233"/>
      <c r="H55" s="375">
        <v>314782</v>
      </c>
      <c r="I55" s="310"/>
      <c r="J55" s="276">
        <f>118941+44643</f>
        <v>163584</v>
      </c>
      <c r="K55" s="232"/>
      <c r="L55" s="275">
        <f>16290+48139+69456+40512+52648</f>
        <v>227045</v>
      </c>
      <c r="M55" s="232"/>
      <c r="N55" s="690">
        <f>93786+80477</f>
        <v>174263</v>
      </c>
      <c r="O55" s="232"/>
      <c r="P55" s="900">
        <f>4068+29568+84610+33515</f>
        <v>151761</v>
      </c>
      <c r="Q55" s="899"/>
      <c r="R55" s="900">
        <f>4346.37+4068+21928.36+76670.92</f>
        <v>107013.65</v>
      </c>
      <c r="S55" s="899"/>
      <c r="T55" s="900">
        <f>4068+2447.63+14747.18+92958.94</f>
        <v>114221.75</v>
      </c>
      <c r="U55" s="899"/>
      <c r="V55" s="900">
        <v>113695</v>
      </c>
      <c r="W55" s="899"/>
      <c r="X55" s="900">
        <v>302526.99</v>
      </c>
      <c r="Y55" s="899"/>
      <c r="Z55" s="1037"/>
      <c r="AB55" s="636"/>
      <c r="AC55" s="631">
        <f>AVERAGE(X55,V55,T55,R55,P55)</f>
        <v>157843.67800000001</v>
      </c>
    </row>
    <row r="56" spans="1:30" thickBot="1" x14ac:dyDescent="0.25">
      <c r="A56" s="272"/>
      <c r="B56" s="271" t="s">
        <v>206</v>
      </c>
      <c r="C56" s="146"/>
      <c r="D56" s="147"/>
      <c r="E56" s="60"/>
      <c r="F56" s="51"/>
      <c r="G56" s="234"/>
      <c r="H56" s="317"/>
      <c r="I56" s="295"/>
      <c r="J56" s="356"/>
      <c r="K56" s="234"/>
      <c r="L56" s="356"/>
      <c r="M56" s="234"/>
      <c r="N56" s="317"/>
      <c r="O56" s="234"/>
      <c r="P56" s="317"/>
      <c r="Q56" s="295"/>
      <c r="R56" s="317"/>
      <c r="S56" s="295"/>
      <c r="T56" s="317"/>
      <c r="U56" s="295"/>
      <c r="V56" s="317"/>
      <c r="W56" s="295"/>
      <c r="X56" s="317"/>
      <c r="Y56" s="295"/>
      <c r="Z56" s="317"/>
      <c r="AB56" s="523"/>
      <c r="AC56" s="272"/>
    </row>
    <row r="57" spans="1:30" ht="12" x14ac:dyDescent="0.2">
      <c r="B57" s="13"/>
      <c r="C57" s="379" t="s">
        <v>74</v>
      </c>
      <c r="D57" s="149" t="s">
        <v>80</v>
      </c>
      <c r="E57" s="379" t="s">
        <v>74</v>
      </c>
      <c r="F57" s="157" t="s">
        <v>80</v>
      </c>
      <c r="G57" s="902" t="s">
        <v>74</v>
      </c>
      <c r="H57" s="904" t="s">
        <v>80</v>
      </c>
      <c r="I57" s="378" t="s">
        <v>74</v>
      </c>
      <c r="J57" s="357" t="s">
        <v>80</v>
      </c>
      <c r="K57" s="359" t="s">
        <v>74</v>
      </c>
      <c r="L57" s="357" t="s">
        <v>80</v>
      </c>
      <c r="M57" s="359" t="s">
        <v>74</v>
      </c>
      <c r="N57" s="318" t="s">
        <v>80</v>
      </c>
      <c r="O57" s="771" t="s">
        <v>74</v>
      </c>
      <c r="P57" s="318" t="s">
        <v>80</v>
      </c>
      <c r="Q57" s="771" t="s">
        <v>74</v>
      </c>
      <c r="R57" s="318" t="s">
        <v>80</v>
      </c>
      <c r="S57" s="771" t="s">
        <v>74</v>
      </c>
      <c r="T57" s="318" t="s">
        <v>80</v>
      </c>
      <c r="U57" s="771" t="s">
        <v>74</v>
      </c>
      <c r="V57" s="318" t="s">
        <v>80</v>
      </c>
      <c r="W57" s="771" t="s">
        <v>74</v>
      </c>
      <c r="X57" s="318" t="s">
        <v>80</v>
      </c>
      <c r="Y57" s="771" t="s">
        <v>74</v>
      </c>
      <c r="Z57" s="318" t="s">
        <v>80</v>
      </c>
      <c r="AA57" s="272"/>
      <c r="AB57" s="734" t="s">
        <v>74</v>
      </c>
      <c r="AC57" s="357" t="s">
        <v>80</v>
      </c>
      <c r="AD57" s="523"/>
    </row>
    <row r="58" spans="1:30" ht="11.45" customHeight="1" x14ac:dyDescent="0.2">
      <c r="B58" s="80" t="s">
        <v>35</v>
      </c>
      <c r="C58" s="591">
        <v>12</v>
      </c>
      <c r="D58" s="388">
        <v>147250</v>
      </c>
      <c r="E58" s="591">
        <v>6</v>
      </c>
      <c r="F58" s="391">
        <v>848211</v>
      </c>
      <c r="G58" s="689">
        <v>9</v>
      </c>
      <c r="H58" s="394">
        <v>49287</v>
      </c>
      <c r="I58" s="689">
        <v>6</v>
      </c>
      <c r="J58" s="396">
        <v>281251</v>
      </c>
      <c r="K58" s="689">
        <v>3</v>
      </c>
      <c r="L58" s="396">
        <v>35037</v>
      </c>
      <c r="M58" s="689">
        <v>7</v>
      </c>
      <c r="N58" s="394">
        <v>728992</v>
      </c>
      <c r="O58" s="689">
        <v>8</v>
      </c>
      <c r="P58" s="394">
        <f>2055266+73197+58557</f>
        <v>2187020</v>
      </c>
      <c r="Q58" s="689">
        <v>7</v>
      </c>
      <c r="R58" s="394">
        <v>1310800</v>
      </c>
      <c r="S58" s="689">
        <v>4</v>
      </c>
      <c r="T58" s="394">
        <v>438806</v>
      </c>
      <c r="U58" s="689">
        <v>3</v>
      </c>
      <c r="V58" s="394">
        <v>376777</v>
      </c>
      <c r="W58" s="689">
        <v>4</v>
      </c>
      <c r="X58" s="394">
        <v>568238</v>
      </c>
      <c r="Y58" s="1038"/>
      <c r="Z58" s="1039"/>
      <c r="AB58" s="905">
        <f t="shared" ref="AB58" si="10">AVERAGE(W58,U58,S58,Q58,Y58)</f>
        <v>4.5</v>
      </c>
      <c r="AC58" s="799">
        <f t="shared" ref="AC58" si="11">AVERAGE(X58,V58,T58,R58,Z58)</f>
        <v>673655.25</v>
      </c>
    </row>
    <row r="59" spans="1:30" ht="10.5" customHeight="1" x14ac:dyDescent="0.2">
      <c r="B59" s="80"/>
      <c r="C59" s="592"/>
      <c r="D59" s="389"/>
      <c r="E59" s="592"/>
      <c r="F59" s="392"/>
      <c r="G59" s="696"/>
      <c r="H59" s="395"/>
      <c r="I59" s="696"/>
      <c r="J59" s="397"/>
      <c r="K59" s="903"/>
      <c r="L59" s="396"/>
      <c r="M59" s="903"/>
      <c r="N59" s="394"/>
      <c r="O59" s="903"/>
      <c r="P59" s="394"/>
      <c r="Q59" s="903"/>
      <c r="R59" s="394"/>
      <c r="S59" s="903"/>
      <c r="T59" s="394"/>
      <c r="U59" s="903"/>
      <c r="V59" s="394"/>
      <c r="W59" s="903"/>
      <c r="X59" s="394"/>
      <c r="Y59" s="232"/>
      <c r="Z59" s="394"/>
      <c r="AB59" s="632"/>
      <c r="AC59" s="799"/>
    </row>
    <row r="60" spans="1:30" thickBot="1" x14ac:dyDescent="0.25">
      <c r="B60" s="104" t="s">
        <v>17</v>
      </c>
      <c r="C60" s="593">
        <v>11</v>
      </c>
      <c r="D60" s="390">
        <v>1069681</v>
      </c>
      <c r="E60" s="594">
        <v>13</v>
      </c>
      <c r="F60" s="426">
        <v>956585</v>
      </c>
      <c r="G60" s="704">
        <v>10</v>
      </c>
      <c r="H60" s="399">
        <v>126841</v>
      </c>
      <c r="I60" s="704">
        <v>5</v>
      </c>
      <c r="J60" s="398">
        <v>970818</v>
      </c>
      <c r="K60" s="704">
        <v>2</v>
      </c>
      <c r="L60" s="398">
        <v>318516</v>
      </c>
      <c r="M60" s="704">
        <v>3</v>
      </c>
      <c r="N60" s="399">
        <v>355627</v>
      </c>
      <c r="O60" s="704">
        <v>6</v>
      </c>
      <c r="P60" s="399">
        <v>2757068</v>
      </c>
      <c r="Q60" s="704">
        <v>4</v>
      </c>
      <c r="R60" s="399">
        <v>320913</v>
      </c>
      <c r="S60" s="704">
        <v>4</v>
      </c>
      <c r="T60" s="399">
        <v>428501</v>
      </c>
      <c r="U60" s="704">
        <v>1</v>
      </c>
      <c r="V60" s="399">
        <v>110461</v>
      </c>
      <c r="W60" s="704">
        <v>3</v>
      </c>
      <c r="X60" s="399">
        <v>491557</v>
      </c>
      <c r="Y60" s="1040"/>
      <c r="Z60" s="1041"/>
      <c r="AB60" s="906">
        <f t="shared" ref="AB60" si="12">AVERAGE(W60,U60,S60,Q60,Y60)</f>
        <v>3</v>
      </c>
      <c r="AC60" s="801">
        <f t="shared" ref="AC60" si="13">AVERAGE(X60,V60,T60,R60,Z60)</f>
        <v>337858</v>
      </c>
    </row>
    <row r="61" spans="1:30" ht="12" x14ac:dyDescent="0.2">
      <c r="B61" s="92" t="s">
        <v>50</v>
      </c>
      <c r="C61" s="380"/>
      <c r="D61" s="159"/>
      <c r="E61" s="150"/>
      <c r="F61" s="218"/>
      <c r="G61" s="784"/>
      <c r="H61" s="338"/>
      <c r="I61" s="254"/>
      <c r="J61" s="358"/>
      <c r="K61" s="254"/>
      <c r="L61" s="358"/>
      <c r="M61" s="254"/>
      <c r="N61" s="319"/>
      <c r="O61" s="254"/>
      <c r="P61" s="319"/>
      <c r="Q61" s="311"/>
      <c r="R61" s="319"/>
      <c r="S61" s="311"/>
      <c r="T61" s="319"/>
      <c r="U61" s="311"/>
      <c r="V61" s="319"/>
      <c r="W61" s="311"/>
      <c r="X61" s="319"/>
      <c r="Y61" s="311"/>
      <c r="Z61" s="319"/>
      <c r="AB61" s="790"/>
      <c r="AC61" s="633"/>
    </row>
    <row r="62" spans="1:30" ht="12" customHeight="1" x14ac:dyDescent="0.2">
      <c r="B62" s="107" t="s">
        <v>51</v>
      </c>
      <c r="C62" s="381"/>
      <c r="D62" s="160"/>
      <c r="E62" s="151"/>
      <c r="F62" s="34"/>
      <c r="G62" s="785"/>
      <c r="H62" s="376"/>
      <c r="I62" s="232"/>
      <c r="J62" s="377"/>
      <c r="K62" s="232"/>
      <c r="L62" s="517"/>
      <c r="M62" s="232"/>
      <c r="N62" s="377"/>
      <c r="O62" s="232"/>
      <c r="P62" s="377"/>
      <c r="Q62" s="309"/>
      <c r="R62" s="377"/>
      <c r="S62" s="309"/>
      <c r="T62" s="377"/>
      <c r="U62" s="309"/>
      <c r="V62" s="377"/>
      <c r="W62" s="309"/>
      <c r="X62" s="377"/>
      <c r="Y62" s="309"/>
      <c r="Z62" s="377"/>
      <c r="AB62" s="619"/>
      <c r="AC62" s="634"/>
    </row>
    <row r="63" spans="1:30" ht="12" x14ac:dyDescent="0.2">
      <c r="B63" s="88" t="s">
        <v>52</v>
      </c>
      <c r="C63" s="382"/>
      <c r="D63" s="244">
        <v>1802247.85</v>
      </c>
      <c r="E63" s="142"/>
      <c r="F63" s="245">
        <f>963774.13+3050</f>
        <v>966824.13</v>
      </c>
      <c r="G63" s="786"/>
      <c r="H63" s="461">
        <f>604724.66+1650</f>
        <v>606374.66</v>
      </c>
      <c r="I63" s="465"/>
      <c r="J63" s="462">
        <f>1429207.67+3225</f>
        <v>1432432.67</v>
      </c>
      <c r="K63" s="469"/>
      <c r="L63" s="516">
        <f>626611.7+11195</f>
        <v>637806.69999999995</v>
      </c>
      <c r="M63" s="469"/>
      <c r="N63" s="789">
        <f>77170+2095587</f>
        <v>2172757</v>
      </c>
      <c r="O63" s="469"/>
      <c r="P63" s="789">
        <f>4665+1185457</f>
        <v>1190122</v>
      </c>
      <c r="Q63" s="807"/>
      <c r="R63" s="789">
        <f>42594.77+1611459.76</f>
        <v>1654054.53</v>
      </c>
      <c r="S63" s="807"/>
      <c r="T63" s="789">
        <f>26504.25+1331851.98</f>
        <v>1358356.23</v>
      </c>
      <c r="U63" s="807"/>
      <c r="V63" s="789">
        <f>12935+1608053.67</f>
        <v>1620988.67</v>
      </c>
      <c r="W63" s="807"/>
      <c r="X63" s="789">
        <f>13229.05+1994757.21</f>
        <v>2007986.26</v>
      </c>
      <c r="Y63" s="807"/>
      <c r="Z63" s="1042"/>
      <c r="AB63" s="666"/>
      <c r="AC63" s="631">
        <f t="shared" ref="AC63:AC64" si="14">AVERAGE(X63,V63,T63,R63,P63)</f>
        <v>1566301.5380000002</v>
      </c>
    </row>
    <row r="64" spans="1:30" thickBot="1" x14ac:dyDescent="0.25">
      <c r="B64" s="108" t="s">
        <v>53</v>
      </c>
      <c r="C64" s="383"/>
      <c r="D64" s="162">
        <v>99634.14</v>
      </c>
      <c r="E64" s="153"/>
      <c r="F64" s="220">
        <v>272266.15000000002</v>
      </c>
      <c r="G64" s="787"/>
      <c r="H64" s="783">
        <v>399279.96</v>
      </c>
      <c r="I64" s="472"/>
      <c r="J64" s="463">
        <v>624271.29</v>
      </c>
      <c r="K64" s="472"/>
      <c r="L64" s="788">
        <v>622791.01</v>
      </c>
      <c r="M64" s="472"/>
      <c r="N64" s="783">
        <v>490509.09</v>
      </c>
      <c r="O64" s="472"/>
      <c r="P64" s="783">
        <v>526966</v>
      </c>
      <c r="Q64" s="803"/>
      <c r="R64" s="783">
        <v>606545.85</v>
      </c>
      <c r="S64" s="803"/>
      <c r="T64" s="783">
        <v>582783.43000000005</v>
      </c>
      <c r="U64" s="803"/>
      <c r="V64" s="783">
        <v>595926.69999999995</v>
      </c>
      <c r="W64" s="803"/>
      <c r="X64" s="783">
        <v>1733599.64</v>
      </c>
      <c r="Y64" s="803"/>
      <c r="Z64" s="1043"/>
      <c r="AB64" s="620"/>
      <c r="AC64" s="635">
        <f t="shared" si="14"/>
        <v>809164.32400000002</v>
      </c>
    </row>
    <row r="65" spans="1:31" thickTop="1" x14ac:dyDescent="0.2">
      <c r="B65" s="70"/>
      <c r="C65" s="71"/>
      <c r="D65" s="72"/>
      <c r="E65" s="71"/>
      <c r="F65" s="73"/>
      <c r="G65" s="224"/>
      <c r="H65" s="225"/>
      <c r="I65" s="224"/>
      <c r="J65" s="513"/>
    </row>
    <row r="66" spans="1:31" x14ac:dyDescent="0.2">
      <c r="A66" s="3" t="s">
        <v>46</v>
      </c>
      <c r="B66" s="70"/>
      <c r="C66" s="71"/>
      <c r="D66" s="72"/>
      <c r="E66" s="71"/>
      <c r="F66" s="73"/>
      <c r="G66" s="224"/>
      <c r="H66" s="225"/>
      <c r="I66" s="224"/>
      <c r="J66" s="225"/>
      <c r="AB66" s="1" t="s">
        <v>19</v>
      </c>
    </row>
    <row r="67" spans="1:31" thickBot="1" x14ac:dyDescent="0.25">
      <c r="B67" s="70"/>
      <c r="C67" s="71"/>
      <c r="D67" s="72"/>
      <c r="E67" s="71"/>
      <c r="F67" s="73"/>
      <c r="G67" s="224"/>
      <c r="H67" s="225"/>
      <c r="I67" s="224"/>
      <c r="J67" s="225"/>
    </row>
    <row r="68" spans="1:31" ht="13.5" thickTop="1" thickBot="1" x14ac:dyDescent="0.25">
      <c r="B68" s="18"/>
      <c r="C68" s="1292" t="s">
        <v>27</v>
      </c>
      <c r="D68" s="1293"/>
      <c r="E68" s="1294" t="s">
        <v>28</v>
      </c>
      <c r="F68" s="1294"/>
      <c r="G68" s="1289" t="s">
        <v>83</v>
      </c>
      <c r="H68" s="1290"/>
      <c r="I68" s="1286" t="s">
        <v>93</v>
      </c>
      <c r="J68" s="1255"/>
      <c r="K68" s="1286" t="s">
        <v>94</v>
      </c>
      <c r="L68" s="1254"/>
      <c r="M68" s="1286" t="s">
        <v>100</v>
      </c>
      <c r="N68" s="1255"/>
      <c r="O68" s="1254" t="s">
        <v>143</v>
      </c>
      <c r="P68" s="1255"/>
      <c r="Q68" s="1254" t="s">
        <v>149</v>
      </c>
      <c r="R68" s="1255"/>
      <c r="S68" s="1254" t="s">
        <v>167</v>
      </c>
      <c r="T68" s="1255"/>
      <c r="U68" s="1254" t="s">
        <v>181</v>
      </c>
      <c r="V68" s="1255"/>
      <c r="W68" s="1254" t="s">
        <v>194</v>
      </c>
      <c r="X68" s="1255"/>
      <c r="Y68" s="1254" t="s">
        <v>203</v>
      </c>
      <c r="Z68" s="1255"/>
      <c r="AB68" s="1259" t="s">
        <v>133</v>
      </c>
      <c r="AC68" s="1268"/>
    </row>
    <row r="69" spans="1:31" ht="12" x14ac:dyDescent="0.2">
      <c r="B69" s="74" t="s">
        <v>31</v>
      </c>
      <c r="C69" s="129"/>
      <c r="D69" s="130"/>
      <c r="E69" s="31"/>
      <c r="F69" s="31"/>
      <c r="G69" s="241"/>
      <c r="H69" s="303"/>
      <c r="I69" s="301"/>
      <c r="J69" s="326"/>
      <c r="K69" s="301"/>
      <c r="L69" s="301"/>
      <c r="M69" s="229"/>
      <c r="N69" s="326"/>
      <c r="O69" s="301"/>
      <c r="P69" s="326"/>
      <c r="Q69" s="301"/>
      <c r="R69" s="326"/>
      <c r="S69" s="301"/>
      <c r="T69" s="326"/>
      <c r="U69" s="301"/>
      <c r="V69" s="326"/>
      <c r="W69" s="301"/>
      <c r="X69" s="326"/>
      <c r="Y69" s="301"/>
      <c r="Z69" s="326"/>
      <c r="AB69" s="523"/>
      <c r="AC69" s="272"/>
    </row>
    <row r="70" spans="1:31" ht="12" x14ac:dyDescent="0.2">
      <c r="B70" s="75" t="s">
        <v>32</v>
      </c>
      <c r="C70" s="131"/>
      <c r="D70" s="164"/>
      <c r="E70" s="32"/>
      <c r="F70" s="52"/>
      <c r="G70" s="242"/>
      <c r="H70" s="340"/>
      <c r="I70" s="284"/>
      <c r="J70" s="305"/>
      <c r="K70" s="284"/>
      <c r="L70" s="101"/>
      <c r="M70" s="209"/>
      <c r="N70" s="305"/>
      <c r="O70" s="284"/>
      <c r="P70" s="305"/>
      <c r="Q70" s="284"/>
      <c r="R70" s="305"/>
      <c r="S70" s="284"/>
      <c r="T70" s="305"/>
      <c r="U70" s="284"/>
      <c r="V70" s="305"/>
      <c r="W70" s="284"/>
      <c r="X70" s="305"/>
      <c r="Y70" s="284"/>
      <c r="Z70" s="305"/>
      <c r="AB70" s="523"/>
      <c r="AC70" s="272"/>
    </row>
    <row r="71" spans="1:31" ht="12" x14ac:dyDescent="0.2">
      <c r="B71" s="76" t="s">
        <v>33</v>
      </c>
      <c r="C71" s="131"/>
      <c r="D71" s="164">
        <v>1</v>
      </c>
      <c r="E71" s="32"/>
      <c r="F71" s="52">
        <v>2</v>
      </c>
      <c r="G71" s="242"/>
      <c r="H71" s="305">
        <v>0</v>
      </c>
      <c r="I71" s="284"/>
      <c r="J71" s="305">
        <v>0</v>
      </c>
      <c r="K71" s="284"/>
      <c r="L71" s="101">
        <v>2</v>
      </c>
      <c r="M71" s="209"/>
      <c r="N71" s="305">
        <v>2</v>
      </c>
      <c r="O71" s="284"/>
      <c r="P71" s="305">
        <v>2</v>
      </c>
      <c r="Q71" s="284"/>
      <c r="R71" s="305">
        <v>2</v>
      </c>
      <c r="S71" s="284"/>
      <c r="T71" s="305">
        <v>2</v>
      </c>
      <c r="U71" s="284"/>
      <c r="V71" s="305">
        <v>3</v>
      </c>
      <c r="W71" s="284"/>
      <c r="X71" s="305">
        <v>3</v>
      </c>
      <c r="Y71" s="284"/>
      <c r="Z71" s="305">
        <v>1</v>
      </c>
      <c r="AB71" s="636"/>
      <c r="AC71" s="626">
        <f t="shared" ref="AC71:AC72" si="15">AVERAGE(X71,V71,T71,R71,Z71)</f>
        <v>2.2000000000000002</v>
      </c>
    </row>
    <row r="72" spans="1:31" ht="12" x14ac:dyDescent="0.2">
      <c r="B72" s="76" t="s">
        <v>103</v>
      </c>
      <c r="C72" s="131"/>
      <c r="D72" s="164">
        <v>1</v>
      </c>
      <c r="E72" s="32"/>
      <c r="F72" s="52">
        <v>1</v>
      </c>
      <c r="G72" s="242"/>
      <c r="H72" s="305">
        <v>0</v>
      </c>
      <c r="I72" s="284"/>
      <c r="J72" s="305">
        <v>0</v>
      </c>
      <c r="K72" s="284"/>
      <c r="L72" s="101">
        <v>0</v>
      </c>
      <c r="M72" s="209"/>
      <c r="N72" s="305">
        <v>0</v>
      </c>
      <c r="O72" s="284"/>
      <c r="P72" s="305">
        <v>0</v>
      </c>
      <c r="Q72" s="284"/>
      <c r="R72" s="305">
        <v>0</v>
      </c>
      <c r="S72" s="284"/>
      <c r="T72" s="305">
        <v>0</v>
      </c>
      <c r="U72" s="284"/>
      <c r="V72" s="305">
        <v>1</v>
      </c>
      <c r="W72" s="284"/>
      <c r="X72" s="305">
        <v>7</v>
      </c>
      <c r="Y72" s="284"/>
      <c r="Z72" s="305">
        <v>5</v>
      </c>
      <c r="AB72" s="636"/>
      <c r="AC72" s="914">
        <f t="shared" si="15"/>
        <v>2.6</v>
      </c>
    </row>
    <row r="73" spans="1:31" ht="12" x14ac:dyDescent="0.2">
      <c r="B73" s="75" t="s">
        <v>34</v>
      </c>
      <c r="C73" s="131"/>
      <c r="D73" s="133"/>
      <c r="E73" s="32"/>
      <c r="F73" s="33"/>
      <c r="G73" s="242"/>
      <c r="H73" s="212" t="s">
        <v>19</v>
      </c>
      <c r="I73" s="284"/>
      <c r="J73" s="212" t="s">
        <v>19</v>
      </c>
      <c r="K73" s="284"/>
      <c r="L73" s="211"/>
      <c r="M73" s="209"/>
      <c r="N73" s="212"/>
      <c r="O73" s="284"/>
      <c r="P73" s="212"/>
      <c r="Q73" s="284"/>
      <c r="R73" s="212"/>
      <c r="S73" s="284"/>
      <c r="T73" s="212"/>
      <c r="U73" s="284"/>
      <c r="V73" s="212"/>
      <c r="W73" s="284"/>
      <c r="X73" s="212"/>
      <c r="Y73" s="284"/>
      <c r="Z73" s="212"/>
      <c r="AB73" s="622"/>
      <c r="AC73" s="613"/>
    </row>
    <row r="74" spans="1:31" ht="12" x14ac:dyDescent="0.2">
      <c r="B74" s="76" t="s">
        <v>33</v>
      </c>
      <c r="C74" s="131"/>
      <c r="D74" s="133">
        <v>0</v>
      </c>
      <c r="E74" s="32"/>
      <c r="F74" s="33">
        <v>0</v>
      </c>
      <c r="G74" s="242"/>
      <c r="H74" s="212">
        <v>0</v>
      </c>
      <c r="I74" s="284"/>
      <c r="J74" s="212">
        <v>1</v>
      </c>
      <c r="K74" s="284"/>
      <c r="L74" s="211">
        <v>0</v>
      </c>
      <c r="M74" s="209"/>
      <c r="N74" s="212">
        <v>0</v>
      </c>
      <c r="O74" s="284"/>
      <c r="P74" s="212">
        <v>0</v>
      </c>
      <c r="Q74" s="284"/>
      <c r="R74" s="212">
        <v>0</v>
      </c>
      <c r="S74" s="284"/>
      <c r="T74" s="212">
        <v>0</v>
      </c>
      <c r="U74" s="284"/>
      <c r="V74" s="212">
        <v>0</v>
      </c>
      <c r="W74" s="284"/>
      <c r="X74" s="212">
        <v>0</v>
      </c>
      <c r="Y74" s="284"/>
      <c r="Z74" s="212">
        <v>0</v>
      </c>
      <c r="AB74" s="636"/>
      <c r="AC74" s="914">
        <f t="shared" ref="AC74:AC76" si="16">AVERAGE(X74,V74,T74,R74,Z74)</f>
        <v>0</v>
      </c>
    </row>
    <row r="75" spans="1:31" ht="12" x14ac:dyDescent="0.2">
      <c r="B75" s="78" t="s">
        <v>103</v>
      </c>
      <c r="C75" s="131"/>
      <c r="D75" s="133">
        <v>0</v>
      </c>
      <c r="E75" s="32"/>
      <c r="F75" s="33">
        <v>0</v>
      </c>
      <c r="G75" s="242"/>
      <c r="H75" s="212">
        <v>0</v>
      </c>
      <c r="I75" s="284"/>
      <c r="J75" s="212">
        <v>0</v>
      </c>
      <c r="K75" s="284"/>
      <c r="L75" s="211">
        <v>0</v>
      </c>
      <c r="M75" s="209"/>
      <c r="N75" s="212">
        <v>0</v>
      </c>
      <c r="O75" s="284"/>
      <c r="P75" s="212">
        <v>0</v>
      </c>
      <c r="Q75" s="284"/>
      <c r="R75" s="212">
        <v>0</v>
      </c>
      <c r="S75" s="284"/>
      <c r="T75" s="212">
        <v>1</v>
      </c>
      <c r="U75" s="284"/>
      <c r="V75" s="212">
        <v>1</v>
      </c>
      <c r="W75" s="284"/>
      <c r="X75" s="212">
        <v>0</v>
      </c>
      <c r="Y75" s="284"/>
      <c r="Z75" s="212">
        <v>1</v>
      </c>
      <c r="AB75" s="636"/>
      <c r="AC75" s="914">
        <f t="shared" si="16"/>
        <v>0.6</v>
      </c>
    </row>
    <row r="76" spans="1:31" thickBot="1" x14ac:dyDescent="0.25">
      <c r="B76" s="40" t="s">
        <v>14</v>
      </c>
      <c r="C76" s="165"/>
      <c r="D76" s="135">
        <f>SUM(D71:D75)</f>
        <v>2</v>
      </c>
      <c r="E76" s="79"/>
      <c r="F76" s="56">
        <f>SUM(F71:F75)</f>
        <v>3</v>
      </c>
      <c r="G76" s="243"/>
      <c r="H76" s="56">
        <f>SUM(H71:H75)</f>
        <v>0</v>
      </c>
      <c r="I76" s="260"/>
      <c r="J76" s="306">
        <f>SUM(J71:J75)</f>
        <v>1</v>
      </c>
      <c r="K76" s="339"/>
      <c r="L76" s="364">
        <f>SUM(L71:L75)</f>
        <v>2</v>
      </c>
      <c r="M76" s="260"/>
      <c r="N76" s="306">
        <f>SUM(N71:N75)</f>
        <v>2</v>
      </c>
      <c r="O76" s="339"/>
      <c r="P76" s="306">
        <f>SUM(P71:P75)</f>
        <v>2</v>
      </c>
      <c r="Q76" s="339"/>
      <c r="R76" s="306">
        <f>SUM(R71:R75)</f>
        <v>2</v>
      </c>
      <c r="S76" s="339"/>
      <c r="T76" s="306">
        <f>SUM(T71:T75)</f>
        <v>3</v>
      </c>
      <c r="U76" s="339"/>
      <c r="V76" s="306">
        <f>SUM(V71:V75)</f>
        <v>5</v>
      </c>
      <c r="W76" s="339"/>
      <c r="X76" s="306">
        <f>SUM(X71:X75)</f>
        <v>10</v>
      </c>
      <c r="Y76" s="339"/>
      <c r="Z76" s="306">
        <f>SUM(Z71:Z75)</f>
        <v>7</v>
      </c>
      <c r="AB76" s="615"/>
      <c r="AC76" s="616">
        <f t="shared" si="16"/>
        <v>5.4</v>
      </c>
    </row>
    <row r="77" spans="1:31" thickTop="1" x14ac:dyDescent="0.2">
      <c r="B77" s="122" t="s">
        <v>76</v>
      </c>
      <c r="C77" s="166" t="s">
        <v>74</v>
      </c>
      <c r="D77" s="167" t="s">
        <v>75</v>
      </c>
      <c r="E77" s="123" t="s">
        <v>74</v>
      </c>
      <c r="F77" s="163" t="s">
        <v>75</v>
      </c>
      <c r="G77" s="248" t="s">
        <v>74</v>
      </c>
      <c r="H77" s="328" t="s">
        <v>75</v>
      </c>
      <c r="I77" s="322" t="s">
        <v>74</v>
      </c>
      <c r="J77" s="328" t="s">
        <v>75</v>
      </c>
      <c r="K77" s="322" t="s">
        <v>74</v>
      </c>
      <c r="L77" s="363" t="s">
        <v>75</v>
      </c>
      <c r="M77" s="248" t="s">
        <v>74</v>
      </c>
      <c r="N77" s="328" t="s">
        <v>75</v>
      </c>
      <c r="O77" s="322" t="s">
        <v>74</v>
      </c>
      <c r="P77" s="328" t="s">
        <v>75</v>
      </c>
      <c r="Q77" s="322" t="s">
        <v>74</v>
      </c>
      <c r="R77" s="328" t="s">
        <v>75</v>
      </c>
      <c r="S77" s="322" t="s">
        <v>74</v>
      </c>
      <c r="T77" s="328" t="s">
        <v>75</v>
      </c>
      <c r="U77" s="322" t="s">
        <v>74</v>
      </c>
      <c r="V77" s="328" t="s">
        <v>75</v>
      </c>
      <c r="W77" s="322" t="s">
        <v>74</v>
      </c>
      <c r="X77" s="328" t="s">
        <v>75</v>
      </c>
      <c r="Y77" s="322" t="s">
        <v>74</v>
      </c>
      <c r="Z77" s="328" t="s">
        <v>75</v>
      </c>
      <c r="AB77" s="617" t="s">
        <v>74</v>
      </c>
      <c r="AC77" s="612" t="s">
        <v>75</v>
      </c>
    </row>
    <row r="78" spans="1:31" ht="12" x14ac:dyDescent="0.2">
      <c r="B78" s="116" t="s">
        <v>57</v>
      </c>
      <c r="C78" s="168">
        <v>2</v>
      </c>
      <c r="D78" s="169">
        <f>C78/D$76</f>
        <v>1</v>
      </c>
      <c r="E78" s="124">
        <v>2</v>
      </c>
      <c r="F78" s="176">
        <f t="shared" ref="F78:F85" si="17">E78/F$76</f>
        <v>0.66666666666666663</v>
      </c>
      <c r="G78" s="168">
        <v>0</v>
      </c>
      <c r="H78" s="329">
        <v>0</v>
      </c>
      <c r="I78" s="124">
        <v>1</v>
      </c>
      <c r="J78" s="329">
        <f t="shared" ref="J78:J85" si="18">I78/J$76</f>
        <v>1</v>
      </c>
      <c r="K78" s="124">
        <v>2</v>
      </c>
      <c r="L78" s="176">
        <f t="shared" ref="L78:N85" si="19">K78/L$76</f>
        <v>1</v>
      </c>
      <c r="M78" s="168">
        <v>2</v>
      </c>
      <c r="N78" s="329">
        <f>M78/N$76</f>
        <v>1</v>
      </c>
      <c r="O78" s="124">
        <v>2</v>
      </c>
      <c r="P78" s="329">
        <f t="shared" ref="P78:R85" si="20">O78/P$76</f>
        <v>1</v>
      </c>
      <c r="Q78" s="124">
        <v>2</v>
      </c>
      <c r="R78" s="329">
        <f t="shared" si="20"/>
        <v>1</v>
      </c>
      <c r="S78" s="124">
        <f>2+1</f>
        <v>3</v>
      </c>
      <c r="T78" s="329">
        <f t="shared" ref="T78:T85" si="21">S78/T$76</f>
        <v>1</v>
      </c>
      <c r="U78" s="124">
        <v>5</v>
      </c>
      <c r="V78" s="329">
        <f t="shared" ref="V78:V85" si="22">U78/V$76</f>
        <v>1</v>
      </c>
      <c r="W78" s="124">
        <v>10</v>
      </c>
      <c r="X78" s="329">
        <f t="shared" ref="X78:X85" si="23">W78/X$76</f>
        <v>1</v>
      </c>
      <c r="Y78" s="124">
        <v>7</v>
      </c>
      <c r="Z78" s="329">
        <f t="shared" ref="Z78:Z85" si="24">Y78/Z$76</f>
        <v>1</v>
      </c>
      <c r="AB78" s="666">
        <f t="shared" ref="AB78:AB85" si="25">AVERAGE(W78,U78,S78,Q78,Y78)</f>
        <v>5.4</v>
      </c>
      <c r="AC78" s="736">
        <f t="shared" ref="AC78:AC85" si="26">AVERAGE(X78,V78,T78,R78,Z78)</f>
        <v>1</v>
      </c>
      <c r="AE78" s="735"/>
    </row>
    <row r="79" spans="1:31" ht="12" x14ac:dyDescent="0.2">
      <c r="B79" s="117" t="s">
        <v>58</v>
      </c>
      <c r="C79" s="168">
        <v>0</v>
      </c>
      <c r="D79" s="169">
        <f t="shared" ref="D79:D97" si="27">C79/$D$76</f>
        <v>0</v>
      </c>
      <c r="E79" s="124">
        <v>1</v>
      </c>
      <c r="F79" s="176">
        <f t="shared" si="17"/>
        <v>0.33333333333333331</v>
      </c>
      <c r="G79" s="168">
        <v>0</v>
      </c>
      <c r="H79" s="329">
        <v>0</v>
      </c>
      <c r="I79" s="124">
        <v>0</v>
      </c>
      <c r="J79" s="329">
        <f t="shared" si="18"/>
        <v>0</v>
      </c>
      <c r="K79" s="124">
        <v>0</v>
      </c>
      <c r="L79" s="176">
        <f t="shared" si="19"/>
        <v>0</v>
      </c>
      <c r="M79" s="168">
        <v>0</v>
      </c>
      <c r="N79" s="329">
        <f t="shared" si="19"/>
        <v>0</v>
      </c>
      <c r="O79" s="124">
        <v>0</v>
      </c>
      <c r="P79" s="329">
        <f t="shared" si="20"/>
        <v>0</v>
      </c>
      <c r="Q79" s="124">
        <v>0</v>
      </c>
      <c r="R79" s="329">
        <f t="shared" si="20"/>
        <v>0</v>
      </c>
      <c r="S79" s="124">
        <f>0</f>
        <v>0</v>
      </c>
      <c r="T79" s="329">
        <f t="shared" si="21"/>
        <v>0</v>
      </c>
      <c r="U79" s="124">
        <v>0</v>
      </c>
      <c r="V79" s="329">
        <f t="shared" si="22"/>
        <v>0</v>
      </c>
      <c r="W79" s="124">
        <v>0</v>
      </c>
      <c r="X79" s="329">
        <f t="shared" si="23"/>
        <v>0</v>
      </c>
      <c r="Y79" s="124">
        <v>0</v>
      </c>
      <c r="Z79" s="329">
        <f t="shared" si="24"/>
        <v>0</v>
      </c>
      <c r="AB79" s="666">
        <f t="shared" si="25"/>
        <v>0</v>
      </c>
      <c r="AC79" s="736">
        <f t="shared" si="26"/>
        <v>0</v>
      </c>
    </row>
    <row r="80" spans="1:31" ht="12" x14ac:dyDescent="0.2">
      <c r="B80" s="117" t="s">
        <v>59</v>
      </c>
      <c r="C80" s="168">
        <v>0</v>
      </c>
      <c r="D80" s="169">
        <f t="shared" si="27"/>
        <v>0</v>
      </c>
      <c r="E80" s="124">
        <v>0</v>
      </c>
      <c r="F80" s="176">
        <f t="shared" si="17"/>
        <v>0</v>
      </c>
      <c r="G80" s="168">
        <v>0</v>
      </c>
      <c r="H80" s="329">
        <v>0</v>
      </c>
      <c r="I80" s="124">
        <v>0</v>
      </c>
      <c r="J80" s="329">
        <f t="shared" si="18"/>
        <v>0</v>
      </c>
      <c r="K80" s="124">
        <v>0</v>
      </c>
      <c r="L80" s="176">
        <f t="shared" si="19"/>
        <v>0</v>
      </c>
      <c r="M80" s="168">
        <v>0</v>
      </c>
      <c r="N80" s="329">
        <f t="shared" si="19"/>
        <v>0</v>
      </c>
      <c r="O80" s="124">
        <v>0</v>
      </c>
      <c r="P80" s="329">
        <f t="shared" si="20"/>
        <v>0</v>
      </c>
      <c r="Q80" s="124">
        <v>0</v>
      </c>
      <c r="R80" s="329">
        <f t="shared" si="20"/>
        <v>0</v>
      </c>
      <c r="S80" s="124">
        <f>0</f>
        <v>0</v>
      </c>
      <c r="T80" s="329">
        <f t="shared" si="21"/>
        <v>0</v>
      </c>
      <c r="U80" s="124">
        <v>0</v>
      </c>
      <c r="V80" s="329">
        <f t="shared" si="22"/>
        <v>0</v>
      </c>
      <c r="W80" s="124">
        <v>0</v>
      </c>
      <c r="X80" s="329">
        <f t="shared" si="23"/>
        <v>0</v>
      </c>
      <c r="Y80" s="124">
        <v>0</v>
      </c>
      <c r="Z80" s="329">
        <f t="shared" si="24"/>
        <v>0</v>
      </c>
      <c r="AB80" s="666">
        <f t="shared" si="25"/>
        <v>0</v>
      </c>
      <c r="AC80" s="736">
        <f t="shared" si="26"/>
        <v>0</v>
      </c>
    </row>
    <row r="81" spans="2:29" ht="12" x14ac:dyDescent="0.2">
      <c r="B81" s="117" t="s">
        <v>60</v>
      </c>
      <c r="C81" s="168">
        <v>0</v>
      </c>
      <c r="D81" s="169">
        <f t="shared" si="27"/>
        <v>0</v>
      </c>
      <c r="E81" s="124">
        <v>0</v>
      </c>
      <c r="F81" s="176">
        <f t="shared" si="17"/>
        <v>0</v>
      </c>
      <c r="G81" s="168">
        <v>0</v>
      </c>
      <c r="H81" s="329">
        <v>0</v>
      </c>
      <c r="I81" s="124">
        <v>0</v>
      </c>
      <c r="J81" s="329">
        <f t="shared" si="18"/>
        <v>0</v>
      </c>
      <c r="K81" s="124">
        <v>0</v>
      </c>
      <c r="L81" s="176">
        <f t="shared" si="19"/>
        <v>0</v>
      </c>
      <c r="M81" s="168">
        <v>0</v>
      </c>
      <c r="N81" s="329">
        <f t="shared" si="19"/>
        <v>0</v>
      </c>
      <c r="O81" s="124">
        <v>0</v>
      </c>
      <c r="P81" s="329">
        <f t="shared" si="20"/>
        <v>0</v>
      </c>
      <c r="Q81" s="124">
        <v>0</v>
      </c>
      <c r="R81" s="329">
        <f t="shared" si="20"/>
        <v>0</v>
      </c>
      <c r="S81" s="124">
        <f>0</f>
        <v>0</v>
      </c>
      <c r="T81" s="329">
        <f t="shared" si="21"/>
        <v>0</v>
      </c>
      <c r="U81" s="124">
        <v>0</v>
      </c>
      <c r="V81" s="329">
        <f t="shared" si="22"/>
        <v>0</v>
      </c>
      <c r="W81" s="124">
        <v>0</v>
      </c>
      <c r="X81" s="329">
        <f t="shared" si="23"/>
        <v>0</v>
      </c>
      <c r="Y81" s="124">
        <v>0</v>
      </c>
      <c r="Z81" s="329">
        <f t="shared" si="24"/>
        <v>0</v>
      </c>
      <c r="AB81" s="666">
        <f t="shared" si="25"/>
        <v>0</v>
      </c>
      <c r="AC81" s="736">
        <f t="shared" si="26"/>
        <v>0</v>
      </c>
    </row>
    <row r="82" spans="2:29" ht="12" x14ac:dyDescent="0.2">
      <c r="B82" s="117" t="s">
        <v>61</v>
      </c>
      <c r="C82" s="168">
        <v>0</v>
      </c>
      <c r="D82" s="169">
        <f t="shared" si="27"/>
        <v>0</v>
      </c>
      <c r="E82" s="124">
        <v>0</v>
      </c>
      <c r="F82" s="176">
        <f t="shared" si="17"/>
        <v>0</v>
      </c>
      <c r="G82" s="168">
        <v>0</v>
      </c>
      <c r="H82" s="329">
        <v>0</v>
      </c>
      <c r="I82" s="124">
        <v>0</v>
      </c>
      <c r="J82" s="329">
        <f t="shared" si="18"/>
        <v>0</v>
      </c>
      <c r="K82" s="124">
        <v>0</v>
      </c>
      <c r="L82" s="176">
        <f t="shared" si="19"/>
        <v>0</v>
      </c>
      <c r="M82" s="168">
        <v>0</v>
      </c>
      <c r="N82" s="329">
        <f t="shared" si="19"/>
        <v>0</v>
      </c>
      <c r="O82" s="124">
        <v>0</v>
      </c>
      <c r="P82" s="329">
        <f t="shared" si="20"/>
        <v>0</v>
      </c>
      <c r="Q82" s="124">
        <v>0</v>
      </c>
      <c r="R82" s="329">
        <f t="shared" si="20"/>
        <v>0</v>
      </c>
      <c r="S82" s="124">
        <f>0</f>
        <v>0</v>
      </c>
      <c r="T82" s="329">
        <f t="shared" si="21"/>
        <v>0</v>
      </c>
      <c r="U82" s="124">
        <v>0</v>
      </c>
      <c r="V82" s="329">
        <f t="shared" si="22"/>
        <v>0</v>
      </c>
      <c r="W82" s="124">
        <v>0</v>
      </c>
      <c r="X82" s="329">
        <f t="shared" si="23"/>
        <v>0</v>
      </c>
      <c r="Y82" s="124">
        <v>0</v>
      </c>
      <c r="Z82" s="329">
        <f t="shared" si="24"/>
        <v>0</v>
      </c>
      <c r="AB82" s="666">
        <f t="shared" si="25"/>
        <v>0</v>
      </c>
      <c r="AC82" s="736">
        <f t="shared" si="26"/>
        <v>0</v>
      </c>
    </row>
    <row r="83" spans="2:29" ht="12" x14ac:dyDescent="0.2">
      <c r="B83" s="117" t="s">
        <v>62</v>
      </c>
      <c r="C83" s="168">
        <v>0</v>
      </c>
      <c r="D83" s="169">
        <f t="shared" si="27"/>
        <v>0</v>
      </c>
      <c r="E83" s="124">
        <v>0</v>
      </c>
      <c r="F83" s="176">
        <f t="shared" si="17"/>
        <v>0</v>
      </c>
      <c r="G83" s="168">
        <v>0</v>
      </c>
      <c r="H83" s="329">
        <v>0</v>
      </c>
      <c r="I83" s="124">
        <v>0</v>
      </c>
      <c r="J83" s="329">
        <f t="shared" si="18"/>
        <v>0</v>
      </c>
      <c r="K83" s="124">
        <v>0</v>
      </c>
      <c r="L83" s="176">
        <f t="shared" si="19"/>
        <v>0</v>
      </c>
      <c r="M83" s="168">
        <v>0</v>
      </c>
      <c r="N83" s="329">
        <f t="shared" si="19"/>
        <v>0</v>
      </c>
      <c r="O83" s="124">
        <v>0</v>
      </c>
      <c r="P83" s="329">
        <f t="shared" si="20"/>
        <v>0</v>
      </c>
      <c r="Q83" s="124">
        <v>0</v>
      </c>
      <c r="R83" s="329">
        <f t="shared" si="20"/>
        <v>0</v>
      </c>
      <c r="S83" s="124">
        <f>0</f>
        <v>0</v>
      </c>
      <c r="T83" s="329">
        <f t="shared" si="21"/>
        <v>0</v>
      </c>
      <c r="U83" s="124">
        <v>0</v>
      </c>
      <c r="V83" s="329">
        <f t="shared" si="22"/>
        <v>0</v>
      </c>
      <c r="W83" s="124">
        <v>0</v>
      </c>
      <c r="X83" s="329">
        <f t="shared" si="23"/>
        <v>0</v>
      </c>
      <c r="Y83" s="124">
        <v>0</v>
      </c>
      <c r="Z83" s="329">
        <f t="shared" si="24"/>
        <v>0</v>
      </c>
      <c r="AB83" s="666">
        <f t="shared" si="25"/>
        <v>0</v>
      </c>
      <c r="AC83" s="736">
        <f t="shared" si="26"/>
        <v>0</v>
      </c>
    </row>
    <row r="84" spans="2:29" ht="12" x14ac:dyDescent="0.2">
      <c r="B84" s="117" t="s">
        <v>155</v>
      </c>
      <c r="C84" s="170"/>
      <c r="D84" s="169"/>
      <c r="E84" s="125"/>
      <c r="F84" s="176"/>
      <c r="G84" s="910"/>
      <c r="H84" s="911"/>
      <c r="I84" s="912"/>
      <c r="J84" s="911"/>
      <c r="K84" s="912"/>
      <c r="L84" s="913"/>
      <c r="M84" s="910"/>
      <c r="N84" s="911"/>
      <c r="O84" s="912"/>
      <c r="P84" s="911"/>
      <c r="Q84" s="125">
        <v>0</v>
      </c>
      <c r="R84" s="329">
        <f t="shared" si="20"/>
        <v>0</v>
      </c>
      <c r="S84" s="125">
        <f>0</f>
        <v>0</v>
      </c>
      <c r="T84" s="329">
        <f t="shared" si="21"/>
        <v>0</v>
      </c>
      <c r="U84" s="125">
        <v>0</v>
      </c>
      <c r="V84" s="329">
        <f t="shared" si="22"/>
        <v>0</v>
      </c>
      <c r="W84" s="125">
        <v>0</v>
      </c>
      <c r="X84" s="329">
        <f t="shared" si="23"/>
        <v>0</v>
      </c>
      <c r="Y84" s="125">
        <v>0</v>
      </c>
      <c r="Z84" s="329">
        <f t="shared" si="24"/>
        <v>0</v>
      </c>
      <c r="AB84" s="666">
        <f t="shared" si="25"/>
        <v>0</v>
      </c>
      <c r="AC84" s="736">
        <f t="shared" si="26"/>
        <v>0</v>
      </c>
    </row>
    <row r="85" spans="2:29" ht="12" x14ac:dyDescent="0.2">
      <c r="B85" s="117" t="s">
        <v>63</v>
      </c>
      <c r="C85" s="170">
        <v>0</v>
      </c>
      <c r="D85" s="169">
        <f t="shared" si="27"/>
        <v>0</v>
      </c>
      <c r="E85" s="125">
        <v>0</v>
      </c>
      <c r="F85" s="176">
        <f t="shared" si="17"/>
        <v>0</v>
      </c>
      <c r="G85" s="170">
        <v>0</v>
      </c>
      <c r="H85" s="329">
        <v>0</v>
      </c>
      <c r="I85" s="125">
        <v>0</v>
      </c>
      <c r="J85" s="329">
        <f t="shared" si="18"/>
        <v>0</v>
      </c>
      <c r="K85" s="125">
        <v>0</v>
      </c>
      <c r="L85" s="176">
        <f t="shared" si="19"/>
        <v>0</v>
      </c>
      <c r="M85" s="170">
        <v>0</v>
      </c>
      <c r="N85" s="329">
        <f t="shared" si="19"/>
        <v>0</v>
      </c>
      <c r="O85" s="125">
        <v>0</v>
      </c>
      <c r="P85" s="329">
        <f t="shared" si="20"/>
        <v>0</v>
      </c>
      <c r="Q85" s="125">
        <v>0</v>
      </c>
      <c r="R85" s="329">
        <f t="shared" si="20"/>
        <v>0</v>
      </c>
      <c r="S85" s="125">
        <f>0</f>
        <v>0</v>
      </c>
      <c r="T85" s="329">
        <f t="shared" si="21"/>
        <v>0</v>
      </c>
      <c r="U85" s="125">
        <v>0</v>
      </c>
      <c r="V85" s="329">
        <f t="shared" si="22"/>
        <v>0</v>
      </c>
      <c r="W85" s="125">
        <v>0</v>
      </c>
      <c r="X85" s="329">
        <f t="shared" si="23"/>
        <v>0</v>
      </c>
      <c r="Y85" s="125">
        <v>0</v>
      </c>
      <c r="Z85" s="329">
        <f t="shared" si="24"/>
        <v>0</v>
      </c>
      <c r="AB85" s="666">
        <f t="shared" si="25"/>
        <v>0</v>
      </c>
      <c r="AC85" s="736">
        <f t="shared" si="26"/>
        <v>0</v>
      </c>
    </row>
    <row r="86" spans="2:29" ht="12" x14ac:dyDescent="0.2">
      <c r="B86" s="114" t="s">
        <v>77</v>
      </c>
      <c r="C86" s="171"/>
      <c r="D86" s="169"/>
      <c r="E86" s="180"/>
      <c r="F86" s="221"/>
      <c r="G86" s="249" t="s">
        <v>19</v>
      </c>
      <c r="H86" s="330"/>
      <c r="I86" s="180"/>
      <c r="J86" s="330"/>
      <c r="K86" s="180"/>
      <c r="L86" s="221"/>
      <c r="M86" s="249"/>
      <c r="N86" s="330"/>
      <c r="O86" s="180"/>
      <c r="P86" s="330"/>
      <c r="Q86" s="180"/>
      <c r="R86" s="330"/>
      <c r="S86" s="180"/>
      <c r="T86" s="330"/>
      <c r="U86" s="180"/>
      <c r="V86" s="330"/>
      <c r="W86" s="180"/>
      <c r="X86" s="330"/>
      <c r="Y86" s="180"/>
      <c r="Z86" s="330"/>
      <c r="AB86" s="666"/>
      <c r="AC86" s="736"/>
    </row>
    <row r="87" spans="2:29" ht="12" x14ac:dyDescent="0.2">
      <c r="B87" s="116" t="s">
        <v>64</v>
      </c>
      <c r="C87" s="183">
        <v>0</v>
      </c>
      <c r="D87" s="169">
        <f t="shared" si="27"/>
        <v>0</v>
      </c>
      <c r="E87" s="52">
        <v>0</v>
      </c>
      <c r="F87" s="222">
        <f>E87/F$76</f>
        <v>0</v>
      </c>
      <c r="G87" s="183">
        <v>0</v>
      </c>
      <c r="H87" s="329">
        <v>0</v>
      </c>
      <c r="I87" s="101">
        <v>0</v>
      </c>
      <c r="J87" s="329">
        <f>I87/J$76</f>
        <v>0</v>
      </c>
      <c r="K87" s="101">
        <v>0</v>
      </c>
      <c r="L87" s="176">
        <f>K87/L$76</f>
        <v>0</v>
      </c>
      <c r="M87" s="183">
        <v>0</v>
      </c>
      <c r="N87" s="329">
        <f>M87/N$76</f>
        <v>0</v>
      </c>
      <c r="O87" s="101">
        <v>0</v>
      </c>
      <c r="P87" s="329">
        <f>O87/P$76</f>
        <v>0</v>
      </c>
      <c r="Q87" s="101">
        <v>0</v>
      </c>
      <c r="R87" s="329">
        <f>Q87/R$76</f>
        <v>0</v>
      </c>
      <c r="S87" s="101">
        <f>0</f>
        <v>0</v>
      </c>
      <c r="T87" s="329">
        <f>S87/T$76</f>
        <v>0</v>
      </c>
      <c r="U87" s="101">
        <v>1</v>
      </c>
      <c r="V87" s="329">
        <f>U87/V$76</f>
        <v>0.2</v>
      </c>
      <c r="W87" s="101">
        <v>2</v>
      </c>
      <c r="X87" s="329">
        <f>W87/X$76</f>
        <v>0.2</v>
      </c>
      <c r="Y87" s="101">
        <v>0</v>
      </c>
      <c r="Z87" s="329">
        <f>Y87/Z$76</f>
        <v>0</v>
      </c>
      <c r="AB87" s="666">
        <f t="shared" ref="AB87:AB88" si="28">AVERAGE(W87,U87,S87,Q87,Y87)</f>
        <v>0.6</v>
      </c>
      <c r="AC87" s="736">
        <f t="shared" ref="AC87:AC88" si="29">AVERAGE(X87,V87,T87,R87,Z87)</f>
        <v>0.08</v>
      </c>
    </row>
    <row r="88" spans="2:29" ht="12" x14ac:dyDescent="0.2">
      <c r="B88" s="116" t="s">
        <v>65</v>
      </c>
      <c r="C88" s="183">
        <v>2</v>
      </c>
      <c r="D88" s="169">
        <f t="shared" si="27"/>
        <v>1</v>
      </c>
      <c r="E88" s="178">
        <v>3</v>
      </c>
      <c r="F88" s="222">
        <f>E88/F$76</f>
        <v>1</v>
      </c>
      <c r="G88" s="250">
        <v>0</v>
      </c>
      <c r="H88" s="329">
        <v>0</v>
      </c>
      <c r="I88" s="323">
        <v>1</v>
      </c>
      <c r="J88" s="329">
        <f>I88/J$76</f>
        <v>1</v>
      </c>
      <c r="K88" s="323">
        <v>2</v>
      </c>
      <c r="L88" s="176">
        <f>K88/L$76</f>
        <v>1</v>
      </c>
      <c r="M88" s="250">
        <v>2</v>
      </c>
      <c r="N88" s="329">
        <f>M88/N$76</f>
        <v>1</v>
      </c>
      <c r="O88" s="323">
        <v>2</v>
      </c>
      <c r="P88" s="329">
        <f>O88/P$76</f>
        <v>1</v>
      </c>
      <c r="Q88" s="323">
        <v>2</v>
      </c>
      <c r="R88" s="329">
        <f>Q88/R$76</f>
        <v>1</v>
      </c>
      <c r="S88" s="323">
        <f>1+2</f>
        <v>3</v>
      </c>
      <c r="T88" s="329">
        <f>S88/T$76</f>
        <v>1</v>
      </c>
      <c r="U88" s="323">
        <v>4</v>
      </c>
      <c r="V88" s="329">
        <f>U88/V$76</f>
        <v>0.8</v>
      </c>
      <c r="W88" s="323">
        <v>8</v>
      </c>
      <c r="X88" s="329">
        <f>W88/X$76</f>
        <v>0.8</v>
      </c>
      <c r="Y88" s="323">
        <v>7</v>
      </c>
      <c r="Z88" s="329">
        <f>Y88/Z$76</f>
        <v>1</v>
      </c>
      <c r="AB88" s="666">
        <f t="shared" si="28"/>
        <v>4.8</v>
      </c>
      <c r="AC88" s="736">
        <f t="shared" si="29"/>
        <v>0.91999999999999993</v>
      </c>
    </row>
    <row r="89" spans="2:29" ht="12" x14ac:dyDescent="0.2">
      <c r="B89" s="114" t="s">
        <v>78</v>
      </c>
      <c r="C89" s="173"/>
      <c r="D89" s="169"/>
      <c r="E89" s="181"/>
      <c r="F89" s="222"/>
      <c r="G89" s="251" t="s">
        <v>19</v>
      </c>
      <c r="H89" s="331"/>
      <c r="I89" s="324"/>
      <c r="J89" s="329"/>
      <c r="K89" s="324"/>
      <c r="L89" s="176"/>
      <c r="M89" s="251"/>
      <c r="N89" s="329"/>
      <c r="O89" s="324"/>
      <c r="P89" s="329"/>
      <c r="Q89" s="324"/>
      <c r="R89" s="329"/>
      <c r="S89" s="324"/>
      <c r="T89" s="329"/>
      <c r="U89" s="324"/>
      <c r="V89" s="329"/>
      <c r="W89" s="324"/>
      <c r="X89" s="329"/>
      <c r="Y89" s="324"/>
      <c r="Z89" s="329"/>
      <c r="AB89" s="673"/>
      <c r="AC89" s="737"/>
    </row>
    <row r="90" spans="2:29" ht="12" x14ac:dyDescent="0.2">
      <c r="B90" s="116" t="s">
        <v>66</v>
      </c>
      <c r="C90" s="179">
        <v>1</v>
      </c>
      <c r="D90" s="169">
        <f t="shared" si="27"/>
        <v>0.5</v>
      </c>
      <c r="E90" s="178">
        <v>0</v>
      </c>
      <c r="F90" s="222">
        <f>E90/F$76</f>
        <v>0</v>
      </c>
      <c r="G90" s="250">
        <v>0</v>
      </c>
      <c r="H90" s="329">
        <v>0</v>
      </c>
      <c r="I90" s="323">
        <v>1</v>
      </c>
      <c r="J90" s="329">
        <f>I90/J$76</f>
        <v>1</v>
      </c>
      <c r="K90" s="323">
        <v>1</v>
      </c>
      <c r="L90" s="176">
        <f>K90/L$76</f>
        <v>0.5</v>
      </c>
      <c r="M90" s="250">
        <v>1</v>
      </c>
      <c r="N90" s="329">
        <f>M90/N$76</f>
        <v>0.5</v>
      </c>
      <c r="O90" s="323">
        <v>1</v>
      </c>
      <c r="P90" s="329">
        <f>O90/P$76</f>
        <v>0.5</v>
      </c>
      <c r="Q90" s="323">
        <v>1</v>
      </c>
      <c r="R90" s="329">
        <f>Q90/R$76</f>
        <v>0.5</v>
      </c>
      <c r="S90" s="323">
        <f>1</f>
        <v>1</v>
      </c>
      <c r="T90" s="329">
        <f>S90/T$76</f>
        <v>0.33333333333333331</v>
      </c>
      <c r="U90" s="323">
        <v>2</v>
      </c>
      <c r="V90" s="329">
        <f>U90/V$76</f>
        <v>0.4</v>
      </c>
      <c r="W90" s="323">
        <v>4</v>
      </c>
      <c r="X90" s="329">
        <f>W90/X$76</f>
        <v>0.4</v>
      </c>
      <c r="Y90" s="323">
        <v>2</v>
      </c>
      <c r="Z90" s="329">
        <f>Y90/Z$76</f>
        <v>0.2857142857142857</v>
      </c>
      <c r="AB90" s="666">
        <f t="shared" ref="AB90:AB92" si="30">AVERAGE(W90,U90,S90,Q90,Y90)</f>
        <v>2</v>
      </c>
      <c r="AC90" s="736">
        <f t="shared" ref="AC90:AC92" si="31">AVERAGE(X90,V90,T90,R90,Z90)</f>
        <v>0.38380952380952377</v>
      </c>
    </row>
    <row r="91" spans="2:29" ht="12" x14ac:dyDescent="0.2">
      <c r="B91" s="116" t="s">
        <v>67</v>
      </c>
      <c r="C91" s="179">
        <v>0</v>
      </c>
      <c r="D91" s="169">
        <f t="shared" si="27"/>
        <v>0</v>
      </c>
      <c r="E91" s="178">
        <v>0</v>
      </c>
      <c r="F91" s="222">
        <f>E91/F$76</f>
        <v>0</v>
      </c>
      <c r="G91" s="250">
        <v>0</v>
      </c>
      <c r="H91" s="329">
        <v>0</v>
      </c>
      <c r="I91" s="323">
        <v>0</v>
      </c>
      <c r="J91" s="329">
        <f>I91/J$76</f>
        <v>0</v>
      </c>
      <c r="K91" s="323">
        <v>0</v>
      </c>
      <c r="L91" s="176">
        <f>K91/L$76</f>
        <v>0</v>
      </c>
      <c r="M91" s="250">
        <v>0</v>
      </c>
      <c r="N91" s="329">
        <f>M91/N$76</f>
        <v>0</v>
      </c>
      <c r="O91" s="323">
        <v>0</v>
      </c>
      <c r="P91" s="329">
        <f>O91/P$76</f>
        <v>0</v>
      </c>
      <c r="Q91" s="323">
        <v>0</v>
      </c>
      <c r="R91" s="329">
        <f>Q91/R$76</f>
        <v>0</v>
      </c>
      <c r="S91" s="323">
        <f>0</f>
        <v>0</v>
      </c>
      <c r="T91" s="329">
        <f>S91/T$76</f>
        <v>0</v>
      </c>
      <c r="U91" s="323">
        <v>0</v>
      </c>
      <c r="V91" s="329">
        <f>U91/V$76</f>
        <v>0</v>
      </c>
      <c r="W91" s="323">
        <v>1</v>
      </c>
      <c r="X91" s="329">
        <f>W91/X$76</f>
        <v>0.1</v>
      </c>
      <c r="Y91" s="323">
        <v>0</v>
      </c>
      <c r="Z91" s="329">
        <f>Y91/Z$76</f>
        <v>0</v>
      </c>
      <c r="AB91" s="666">
        <f t="shared" si="30"/>
        <v>0.2</v>
      </c>
      <c r="AC91" s="736">
        <f t="shared" si="31"/>
        <v>0.02</v>
      </c>
    </row>
    <row r="92" spans="2:29" ht="12" x14ac:dyDescent="0.2">
      <c r="B92" s="116" t="s">
        <v>68</v>
      </c>
      <c r="C92" s="179">
        <v>1</v>
      </c>
      <c r="D92" s="169">
        <f t="shared" si="27"/>
        <v>0.5</v>
      </c>
      <c r="E92" s="178">
        <v>3</v>
      </c>
      <c r="F92" s="222">
        <f>E92/F$76</f>
        <v>1</v>
      </c>
      <c r="G92" s="250">
        <v>0</v>
      </c>
      <c r="H92" s="329">
        <v>0</v>
      </c>
      <c r="I92" s="323">
        <v>0</v>
      </c>
      <c r="J92" s="329">
        <f>I92/J$76</f>
        <v>0</v>
      </c>
      <c r="K92" s="323">
        <v>1</v>
      </c>
      <c r="L92" s="176">
        <f>K92/L$76</f>
        <v>0.5</v>
      </c>
      <c r="M92" s="250">
        <v>1</v>
      </c>
      <c r="N92" s="329">
        <f>M92/N$76</f>
        <v>0.5</v>
      </c>
      <c r="O92" s="323">
        <v>1</v>
      </c>
      <c r="P92" s="329">
        <f>O92/P$76</f>
        <v>0.5</v>
      </c>
      <c r="Q92" s="323">
        <v>1</v>
      </c>
      <c r="R92" s="329">
        <f>Q92/R$76</f>
        <v>0.5</v>
      </c>
      <c r="S92" s="323">
        <f>1+1</f>
        <v>2</v>
      </c>
      <c r="T92" s="329">
        <f>S92/T$76</f>
        <v>0.66666666666666663</v>
      </c>
      <c r="U92" s="323">
        <v>3</v>
      </c>
      <c r="V92" s="329">
        <f>U92/V$76</f>
        <v>0.6</v>
      </c>
      <c r="W92" s="323">
        <v>5</v>
      </c>
      <c r="X92" s="329">
        <f>W92/X$76</f>
        <v>0.5</v>
      </c>
      <c r="Y92" s="323">
        <v>5</v>
      </c>
      <c r="Z92" s="329">
        <f>Y92/Z$76</f>
        <v>0.7142857142857143</v>
      </c>
      <c r="AB92" s="666">
        <f t="shared" si="30"/>
        <v>3.2</v>
      </c>
      <c r="AC92" s="736">
        <f t="shared" si="31"/>
        <v>0.59619047619047616</v>
      </c>
    </row>
    <row r="93" spans="2:29" ht="12" x14ac:dyDescent="0.2">
      <c r="B93" s="114" t="s">
        <v>79</v>
      </c>
      <c r="C93" s="173"/>
      <c r="D93" s="169"/>
      <c r="E93" s="181"/>
      <c r="F93" s="222"/>
      <c r="G93" s="251" t="s">
        <v>19</v>
      </c>
      <c r="H93" s="331"/>
      <c r="I93" s="324"/>
      <c r="J93" s="329"/>
      <c r="K93" s="324"/>
      <c r="L93" s="176"/>
      <c r="M93" s="251"/>
      <c r="N93" s="329"/>
      <c r="O93" s="324"/>
      <c r="P93" s="329"/>
      <c r="Q93" s="324"/>
      <c r="R93" s="329"/>
      <c r="S93" s="324"/>
      <c r="T93" s="329"/>
      <c r="U93" s="324"/>
      <c r="V93" s="329"/>
      <c r="W93" s="324"/>
      <c r="X93" s="329"/>
      <c r="Y93" s="324"/>
      <c r="Z93" s="329"/>
      <c r="AB93" s="619"/>
      <c r="AC93" s="738"/>
    </row>
    <row r="94" spans="2:29" ht="12" x14ac:dyDescent="0.2">
      <c r="B94" s="116" t="s">
        <v>69</v>
      </c>
      <c r="C94" s="179">
        <v>2</v>
      </c>
      <c r="D94" s="169">
        <f t="shared" si="27"/>
        <v>1</v>
      </c>
      <c r="E94" s="178">
        <v>2</v>
      </c>
      <c r="F94" s="222">
        <f>E94/F$76</f>
        <v>0.66666666666666663</v>
      </c>
      <c r="G94" s="250">
        <v>0</v>
      </c>
      <c r="H94" s="329">
        <v>0</v>
      </c>
      <c r="I94" s="323">
        <v>1</v>
      </c>
      <c r="J94" s="329">
        <f>I94/J$76</f>
        <v>1</v>
      </c>
      <c r="K94" s="323">
        <v>2</v>
      </c>
      <c r="L94" s="176">
        <f>K94/L$76</f>
        <v>1</v>
      </c>
      <c r="M94" s="250">
        <v>2</v>
      </c>
      <c r="N94" s="329">
        <f>M94/N$76</f>
        <v>1</v>
      </c>
      <c r="O94" s="323">
        <v>2</v>
      </c>
      <c r="P94" s="329">
        <f>O94/P$76</f>
        <v>1</v>
      </c>
      <c r="Q94" s="323">
        <v>2</v>
      </c>
      <c r="R94" s="329">
        <f>Q94/R$76</f>
        <v>1</v>
      </c>
      <c r="S94" s="323">
        <f>2</f>
        <v>2</v>
      </c>
      <c r="T94" s="329">
        <f>S94/T$76</f>
        <v>0.66666666666666663</v>
      </c>
      <c r="U94" s="323">
        <v>3</v>
      </c>
      <c r="V94" s="329">
        <f>U94/V$76</f>
        <v>0.6</v>
      </c>
      <c r="W94" s="323">
        <v>5</v>
      </c>
      <c r="X94" s="329">
        <f>W94/X$76</f>
        <v>0.5</v>
      </c>
      <c r="Y94" s="323">
        <v>3</v>
      </c>
      <c r="Z94" s="329">
        <f>Y94/Z$76</f>
        <v>0.42857142857142855</v>
      </c>
      <c r="AB94" s="666">
        <f t="shared" ref="AB94:AB97" si="32">AVERAGE(W94,U94,S94,Q94,Y94)</f>
        <v>3</v>
      </c>
      <c r="AC94" s="736">
        <f t="shared" ref="AC94:AC97" si="33">AVERAGE(X94,V94,T94,R94,Z94)</f>
        <v>0.63904761904761898</v>
      </c>
    </row>
    <row r="95" spans="2:29" ht="12" x14ac:dyDescent="0.2">
      <c r="B95" s="116" t="s">
        <v>70</v>
      </c>
      <c r="C95" s="179">
        <v>0</v>
      </c>
      <c r="D95" s="169">
        <f t="shared" si="27"/>
        <v>0</v>
      </c>
      <c r="E95" s="178">
        <v>1</v>
      </c>
      <c r="F95" s="222">
        <f>E95/F$76</f>
        <v>0.33333333333333331</v>
      </c>
      <c r="G95" s="250">
        <v>0</v>
      </c>
      <c r="H95" s="329">
        <v>0</v>
      </c>
      <c r="I95" s="323">
        <v>0</v>
      </c>
      <c r="J95" s="329">
        <f>I95/J$76</f>
        <v>0</v>
      </c>
      <c r="K95" s="323">
        <v>0</v>
      </c>
      <c r="L95" s="176">
        <f>K95/L$76</f>
        <v>0</v>
      </c>
      <c r="M95" s="250">
        <v>0</v>
      </c>
      <c r="N95" s="329">
        <f>M95/N$76</f>
        <v>0</v>
      </c>
      <c r="O95" s="323">
        <v>0</v>
      </c>
      <c r="P95" s="329">
        <f>O95/P$76</f>
        <v>0</v>
      </c>
      <c r="Q95" s="323">
        <v>0</v>
      </c>
      <c r="R95" s="329">
        <f>Q95/R$76</f>
        <v>0</v>
      </c>
      <c r="S95" s="323">
        <f>1</f>
        <v>1</v>
      </c>
      <c r="T95" s="329">
        <f>S95/T$76</f>
        <v>0.33333333333333331</v>
      </c>
      <c r="U95" s="323">
        <v>1</v>
      </c>
      <c r="V95" s="329">
        <f>U95/V$76</f>
        <v>0.2</v>
      </c>
      <c r="W95" s="323">
        <v>4</v>
      </c>
      <c r="X95" s="329">
        <f>W95/X$76</f>
        <v>0.4</v>
      </c>
      <c r="Y95" s="323">
        <v>3</v>
      </c>
      <c r="Z95" s="329">
        <f>Y95/Z$76</f>
        <v>0.42857142857142855</v>
      </c>
      <c r="AB95" s="666">
        <f t="shared" si="32"/>
        <v>1.8</v>
      </c>
      <c r="AC95" s="736">
        <f t="shared" si="33"/>
        <v>0.27238095238095239</v>
      </c>
    </row>
    <row r="96" spans="2:29" ht="12" x14ac:dyDescent="0.2">
      <c r="B96" s="116" t="s">
        <v>71</v>
      </c>
      <c r="C96" s="179">
        <v>0</v>
      </c>
      <c r="D96" s="169">
        <f t="shared" si="27"/>
        <v>0</v>
      </c>
      <c r="E96" s="178">
        <v>0</v>
      </c>
      <c r="F96" s="222">
        <f>E96/F$76</f>
        <v>0</v>
      </c>
      <c r="G96" s="250">
        <v>0</v>
      </c>
      <c r="H96" s="329">
        <v>0</v>
      </c>
      <c r="I96" s="323">
        <v>0</v>
      </c>
      <c r="J96" s="329">
        <f>I96/J$76</f>
        <v>0</v>
      </c>
      <c r="K96" s="323">
        <v>0</v>
      </c>
      <c r="L96" s="176">
        <f>K96/L$76</f>
        <v>0</v>
      </c>
      <c r="M96" s="250">
        <v>0</v>
      </c>
      <c r="N96" s="329">
        <f>M96/N$76</f>
        <v>0</v>
      </c>
      <c r="O96" s="323">
        <v>0</v>
      </c>
      <c r="P96" s="329">
        <f>O96/P$76</f>
        <v>0</v>
      </c>
      <c r="Q96" s="323">
        <v>0</v>
      </c>
      <c r="R96" s="329">
        <f>Q96/R$76</f>
        <v>0</v>
      </c>
      <c r="S96" s="323">
        <f>0</f>
        <v>0</v>
      </c>
      <c r="T96" s="329">
        <f>S96/T$76</f>
        <v>0</v>
      </c>
      <c r="U96" s="323">
        <v>1</v>
      </c>
      <c r="V96" s="329">
        <f>U96/V$76</f>
        <v>0.2</v>
      </c>
      <c r="W96" s="323">
        <v>1</v>
      </c>
      <c r="X96" s="329">
        <f>W96/X$76</f>
        <v>0.1</v>
      </c>
      <c r="Y96" s="323">
        <v>1</v>
      </c>
      <c r="Z96" s="329">
        <f>Y96/Z$76</f>
        <v>0.14285714285714285</v>
      </c>
      <c r="AB96" s="666">
        <f t="shared" si="32"/>
        <v>0.6</v>
      </c>
      <c r="AC96" s="736">
        <f t="shared" si="33"/>
        <v>8.8571428571428579E-2</v>
      </c>
    </row>
    <row r="97" spans="1:31" thickBot="1" x14ac:dyDescent="0.25">
      <c r="B97" s="118" t="s">
        <v>72</v>
      </c>
      <c r="C97" s="174">
        <v>0</v>
      </c>
      <c r="D97" s="175">
        <f t="shared" si="27"/>
        <v>0</v>
      </c>
      <c r="E97" s="182">
        <v>0</v>
      </c>
      <c r="F97" s="223">
        <f>E97/F$76</f>
        <v>0</v>
      </c>
      <c r="G97" s="252">
        <v>0</v>
      </c>
      <c r="H97" s="342">
        <v>0</v>
      </c>
      <c r="I97" s="325">
        <v>0</v>
      </c>
      <c r="J97" s="342">
        <f>I97/J$76</f>
        <v>0</v>
      </c>
      <c r="K97" s="325">
        <v>0</v>
      </c>
      <c r="L97" s="177">
        <f>K97/L$76</f>
        <v>0</v>
      </c>
      <c r="M97" s="252">
        <v>0</v>
      </c>
      <c r="N97" s="342">
        <f>M97/N$76</f>
        <v>0</v>
      </c>
      <c r="O97" s="325">
        <v>0</v>
      </c>
      <c r="P97" s="342">
        <f>O97/P$76</f>
        <v>0</v>
      </c>
      <c r="Q97" s="325">
        <v>0</v>
      </c>
      <c r="R97" s="342">
        <f>Q97/R$76</f>
        <v>0</v>
      </c>
      <c r="S97" s="325">
        <f>0</f>
        <v>0</v>
      </c>
      <c r="T97" s="342">
        <f>S97/T$76</f>
        <v>0</v>
      </c>
      <c r="U97" s="325">
        <v>0</v>
      </c>
      <c r="V97" s="342">
        <f>U97/V$76</f>
        <v>0</v>
      </c>
      <c r="W97" s="325">
        <v>0</v>
      </c>
      <c r="X97" s="342">
        <f>W97/X$76</f>
        <v>0</v>
      </c>
      <c r="Y97" s="325">
        <v>0</v>
      </c>
      <c r="Z97" s="342">
        <f>Y97/Z$76</f>
        <v>0</v>
      </c>
      <c r="AB97" s="667">
        <f t="shared" si="32"/>
        <v>0</v>
      </c>
      <c r="AC97" s="739">
        <f t="shared" si="33"/>
        <v>0</v>
      </c>
    </row>
    <row r="98" spans="1:31" ht="14.25" customHeight="1" thickTop="1" thickBot="1" x14ac:dyDescent="0.25">
      <c r="A98" s="272"/>
      <c r="B98" s="524" t="s">
        <v>104</v>
      </c>
      <c r="C98" s="1282" t="s">
        <v>29</v>
      </c>
      <c r="D98" s="1283"/>
      <c r="E98" s="1282" t="s">
        <v>30</v>
      </c>
      <c r="F98" s="1283"/>
      <c r="G98" s="1280" t="s">
        <v>120</v>
      </c>
      <c r="H98" s="1281"/>
      <c r="I98" s="1280" t="s">
        <v>121</v>
      </c>
      <c r="J98" s="1281"/>
      <c r="K98" s="1280" t="s">
        <v>122</v>
      </c>
      <c r="L98" s="1281"/>
      <c r="M98" s="1269" t="s">
        <v>123</v>
      </c>
      <c r="N98" s="1256"/>
      <c r="O98" s="1252" t="s">
        <v>144</v>
      </c>
      <c r="P98" s="1256"/>
      <c r="Q98" s="1252" t="s">
        <v>150</v>
      </c>
      <c r="R98" s="1256"/>
      <c r="S98" s="1252" t="s">
        <v>164</v>
      </c>
      <c r="T98" s="1256"/>
      <c r="U98" s="1252" t="s">
        <v>182</v>
      </c>
      <c r="V98" s="1256"/>
      <c r="W98" s="1252" t="s">
        <v>195</v>
      </c>
      <c r="X98" s="1256"/>
      <c r="Y98" s="1252" t="s">
        <v>204</v>
      </c>
      <c r="Z98" s="1256"/>
      <c r="AA98" s="4"/>
      <c r="AB98" s="1259" t="s">
        <v>133</v>
      </c>
      <c r="AC98" s="1268"/>
      <c r="AD98"/>
      <c r="AE98"/>
    </row>
    <row r="99" spans="1:31" ht="14.25" customHeight="1" x14ac:dyDescent="0.2">
      <c r="A99" s="272"/>
      <c r="B99" s="525"/>
      <c r="C99" s="67" t="s">
        <v>74</v>
      </c>
      <c r="D99" s="526" t="s">
        <v>18</v>
      </c>
      <c r="E99" s="67" t="s">
        <v>74</v>
      </c>
      <c r="F99" s="526" t="s">
        <v>18</v>
      </c>
      <c r="G99" s="67" t="s">
        <v>74</v>
      </c>
      <c r="H99" s="526" t="s">
        <v>18</v>
      </c>
      <c r="I99" s="67" t="s">
        <v>74</v>
      </c>
      <c r="J99" s="526" t="s">
        <v>18</v>
      </c>
      <c r="K99" s="67" t="s">
        <v>74</v>
      </c>
      <c r="L99" s="526" t="s">
        <v>18</v>
      </c>
      <c r="M99" s="67" t="s">
        <v>74</v>
      </c>
      <c r="N99" s="526" t="s">
        <v>18</v>
      </c>
      <c r="O99" s="772" t="s">
        <v>74</v>
      </c>
      <c r="P99" s="526" t="s">
        <v>18</v>
      </c>
      <c r="Q99" s="907" t="s">
        <v>74</v>
      </c>
      <c r="R99" s="526" t="s">
        <v>18</v>
      </c>
      <c r="S99" s="907" t="s">
        <v>74</v>
      </c>
      <c r="T99" s="526" t="s">
        <v>18</v>
      </c>
      <c r="U99" s="907" t="s">
        <v>74</v>
      </c>
      <c r="V99" s="526" t="s">
        <v>18</v>
      </c>
      <c r="W99" s="907" t="s">
        <v>74</v>
      </c>
      <c r="X99" s="526" t="s">
        <v>18</v>
      </c>
      <c r="Y99" s="907" t="s">
        <v>74</v>
      </c>
      <c r="Z99" s="526" t="s">
        <v>18</v>
      </c>
      <c r="AA99" s="4"/>
      <c r="AB99" s="623" t="s">
        <v>74</v>
      </c>
      <c r="AC99" s="527" t="s">
        <v>18</v>
      </c>
      <c r="AD99"/>
      <c r="AE99"/>
    </row>
    <row r="100" spans="1:31" ht="14.25" customHeight="1" x14ac:dyDescent="0.2">
      <c r="A100" s="272"/>
      <c r="B100" s="417" t="s">
        <v>105</v>
      </c>
      <c r="C100" s="67">
        <v>1</v>
      </c>
      <c r="D100" s="528">
        <v>0.5</v>
      </c>
      <c r="E100" s="203">
        <v>2</v>
      </c>
      <c r="F100" s="529">
        <v>1</v>
      </c>
      <c r="G100" s="203">
        <v>4</v>
      </c>
      <c r="H100" s="529">
        <v>2</v>
      </c>
      <c r="I100" s="203">
        <v>4</v>
      </c>
      <c r="J100" s="529">
        <v>1.8</v>
      </c>
      <c r="K100" s="67">
        <v>2</v>
      </c>
      <c r="L100" s="529">
        <v>1</v>
      </c>
      <c r="M100" s="598">
        <v>0</v>
      </c>
      <c r="N100" s="823">
        <v>0</v>
      </c>
      <c r="O100" s="598">
        <v>1</v>
      </c>
      <c r="P100" s="823">
        <v>0.5</v>
      </c>
      <c r="Q100" s="598">
        <v>3</v>
      </c>
      <c r="R100" s="908">
        <v>1.1499999999999999</v>
      </c>
      <c r="S100" s="598">
        <v>2</v>
      </c>
      <c r="T100" s="908">
        <v>0.9</v>
      </c>
      <c r="U100" s="598">
        <v>2</v>
      </c>
      <c r="V100" s="908">
        <v>0.9</v>
      </c>
      <c r="W100" s="598">
        <v>1</v>
      </c>
      <c r="X100" s="908">
        <v>0.5</v>
      </c>
      <c r="Y100" s="598">
        <v>3</v>
      </c>
      <c r="Z100" s="908">
        <v>1.5</v>
      </c>
      <c r="AA100" s="4"/>
      <c r="AB100" s="637">
        <f t="shared" ref="AB100:AB102" si="34">AVERAGE(W100,U100,S100,Q100,Y100)</f>
        <v>2.2000000000000002</v>
      </c>
      <c r="AC100" s="567">
        <f t="shared" ref="AC100:AC102" si="35">AVERAGE(X100,V100,T100,R100,Z100)</f>
        <v>0.98999999999999988</v>
      </c>
      <c r="AD100"/>
      <c r="AE100"/>
    </row>
    <row r="101" spans="1:31" ht="14.25" customHeight="1" x14ac:dyDescent="0.2">
      <c r="A101" s="272"/>
      <c r="B101" s="417" t="s">
        <v>106</v>
      </c>
      <c r="C101" s="67">
        <v>0</v>
      </c>
      <c r="D101" s="528">
        <v>0</v>
      </c>
      <c r="E101" s="203">
        <v>1</v>
      </c>
      <c r="F101" s="529">
        <v>0.2</v>
      </c>
      <c r="G101" s="203">
        <v>2</v>
      </c>
      <c r="H101" s="529">
        <v>1</v>
      </c>
      <c r="I101" s="203">
        <v>3</v>
      </c>
      <c r="J101" s="529">
        <v>1.5</v>
      </c>
      <c r="K101" s="67">
        <v>1</v>
      </c>
      <c r="L101" s="529">
        <v>0.5</v>
      </c>
      <c r="M101" s="598">
        <v>2</v>
      </c>
      <c r="N101" s="823">
        <v>1</v>
      </c>
      <c r="O101" s="598">
        <v>2</v>
      </c>
      <c r="P101" s="823">
        <v>1</v>
      </c>
      <c r="Q101" s="598">
        <v>2</v>
      </c>
      <c r="R101" s="908">
        <v>1</v>
      </c>
      <c r="S101" s="598">
        <v>3</v>
      </c>
      <c r="T101" s="908">
        <v>1.5</v>
      </c>
      <c r="U101" s="598">
        <v>1</v>
      </c>
      <c r="V101" s="908">
        <v>0.5</v>
      </c>
      <c r="W101" s="598">
        <v>3</v>
      </c>
      <c r="X101" s="908">
        <v>1.5</v>
      </c>
      <c r="Y101" s="598">
        <v>2</v>
      </c>
      <c r="Z101" s="908">
        <v>1</v>
      </c>
      <c r="AA101" s="4"/>
      <c r="AB101" s="637">
        <f t="shared" si="34"/>
        <v>2.2000000000000002</v>
      </c>
      <c r="AC101" s="567">
        <f t="shared" si="35"/>
        <v>1.1000000000000001</v>
      </c>
      <c r="AD101"/>
      <c r="AE101"/>
    </row>
    <row r="102" spans="1:31" ht="14.25" customHeight="1" thickBot="1" x14ac:dyDescent="0.25">
      <c r="A102" s="272"/>
      <c r="B102" s="120" t="s">
        <v>132</v>
      </c>
      <c r="C102" s="532">
        <v>0</v>
      </c>
      <c r="D102" s="531">
        <v>0</v>
      </c>
      <c r="E102" s="683">
        <v>0</v>
      </c>
      <c r="F102" s="533">
        <v>0</v>
      </c>
      <c r="G102" s="683">
        <v>0</v>
      </c>
      <c r="H102" s="533">
        <v>0</v>
      </c>
      <c r="I102" s="683">
        <v>0</v>
      </c>
      <c r="J102" s="533">
        <v>0</v>
      </c>
      <c r="K102" s="532">
        <v>0</v>
      </c>
      <c r="L102" s="533">
        <v>0</v>
      </c>
      <c r="M102" s="599">
        <v>0</v>
      </c>
      <c r="N102" s="824">
        <v>0</v>
      </c>
      <c r="O102" s="599">
        <v>0</v>
      </c>
      <c r="P102" s="824">
        <v>0</v>
      </c>
      <c r="Q102" s="599">
        <v>0</v>
      </c>
      <c r="R102" s="909">
        <v>0</v>
      </c>
      <c r="S102" s="599">
        <v>0</v>
      </c>
      <c r="T102" s="909">
        <v>0</v>
      </c>
      <c r="U102" s="599">
        <v>1</v>
      </c>
      <c r="V102" s="909">
        <v>0.3</v>
      </c>
      <c r="W102" s="599">
        <v>1</v>
      </c>
      <c r="X102" s="909">
        <v>0.3</v>
      </c>
      <c r="Y102" s="599">
        <v>1</v>
      </c>
      <c r="Z102" s="909">
        <v>0.3</v>
      </c>
      <c r="AA102" s="4"/>
      <c r="AB102" s="684">
        <f t="shared" si="34"/>
        <v>0.6</v>
      </c>
      <c r="AC102" s="621">
        <f t="shared" si="35"/>
        <v>0.18</v>
      </c>
      <c r="AD102"/>
      <c r="AE102"/>
    </row>
    <row r="103" spans="1:31" customFormat="1" ht="17.25" thickTop="1" thickBot="1" x14ac:dyDescent="0.3">
      <c r="A103" s="534"/>
      <c r="B103" s="535"/>
      <c r="C103" s="1282" t="s">
        <v>29</v>
      </c>
      <c r="D103" s="1283"/>
      <c r="E103" s="1282" t="s">
        <v>30</v>
      </c>
      <c r="F103" s="1283"/>
      <c r="G103" s="1280" t="s">
        <v>120</v>
      </c>
      <c r="H103" s="1281"/>
      <c r="I103" s="1280" t="s">
        <v>121</v>
      </c>
      <c r="J103" s="1281"/>
      <c r="K103" s="1280" t="s">
        <v>122</v>
      </c>
      <c r="L103" s="1281"/>
      <c r="M103" s="1269" t="s">
        <v>123</v>
      </c>
      <c r="N103" s="1256"/>
      <c r="O103" s="1252" t="s">
        <v>154</v>
      </c>
      <c r="P103" s="1256"/>
      <c r="Q103" s="1252" t="s">
        <v>150</v>
      </c>
      <c r="R103" s="1256"/>
      <c r="S103" s="1252" t="s">
        <v>164</v>
      </c>
      <c r="T103" s="1256"/>
      <c r="U103" s="1252" t="s">
        <v>182</v>
      </c>
      <c r="V103" s="1256"/>
      <c r="W103" s="1252" t="s">
        <v>195</v>
      </c>
      <c r="X103" s="1256"/>
      <c r="Y103" s="1252" t="s">
        <v>204</v>
      </c>
      <c r="Z103" s="1256"/>
      <c r="AA103" s="664"/>
      <c r="AB103" s="1261"/>
      <c r="AC103" s="1262"/>
      <c r="AD103" s="4"/>
      <c r="AE103" s="1"/>
    </row>
    <row r="104" spans="1:31" customFormat="1" x14ac:dyDescent="0.2">
      <c r="A104" s="1"/>
      <c r="B104" s="418" t="s">
        <v>131</v>
      </c>
      <c r="C104" s="872"/>
      <c r="D104" s="561"/>
      <c r="E104" s="873"/>
      <c r="F104" s="874"/>
      <c r="G104" s="875"/>
      <c r="H104" s="876"/>
      <c r="I104" s="935"/>
      <c r="J104" s="908"/>
      <c r="K104" s="564"/>
      <c r="L104" s="877"/>
      <c r="M104" s="564"/>
      <c r="N104" s="565"/>
      <c r="O104" s="878"/>
      <c r="P104" s="879"/>
      <c r="Q104" s="564"/>
      <c r="R104" s="565"/>
      <c r="S104" s="564"/>
      <c r="T104" s="565"/>
      <c r="U104" s="878"/>
      <c r="V104" s="885"/>
      <c r="W104" s="564"/>
      <c r="X104" s="565"/>
      <c r="Y104" s="564"/>
      <c r="Z104" s="565"/>
      <c r="AA104" s="880"/>
      <c r="AB104" s="880"/>
      <c r="AC104" s="880"/>
      <c r="AD104" s="1"/>
      <c r="AE104" s="1"/>
    </row>
    <row r="105" spans="1:31" customFormat="1" x14ac:dyDescent="0.2">
      <c r="A105" s="272"/>
      <c r="B105" s="545" t="s">
        <v>110</v>
      </c>
      <c r="C105" s="1272">
        <v>6.85</v>
      </c>
      <c r="D105" s="1273"/>
      <c r="E105" s="562"/>
      <c r="F105" s="563"/>
      <c r="G105" s="564"/>
      <c r="H105" s="565"/>
      <c r="I105" s="1272">
        <v>0.1</v>
      </c>
      <c r="J105" s="1273"/>
      <c r="K105" s="882"/>
      <c r="L105" s="883"/>
      <c r="M105" s="882"/>
      <c r="N105" s="565"/>
      <c r="O105" s="884"/>
      <c r="P105" s="885">
        <v>2.5</v>
      </c>
      <c r="Q105" s="882"/>
      <c r="R105" s="565"/>
      <c r="S105" s="882"/>
      <c r="T105" s="565"/>
      <c r="U105" s="891"/>
      <c r="V105" s="885">
        <v>1.9</v>
      </c>
      <c r="W105" s="882"/>
      <c r="X105" s="565"/>
      <c r="Y105" s="882"/>
      <c r="Z105" s="565"/>
      <c r="AA105" s="880"/>
      <c r="AB105" s="880"/>
      <c r="AC105" s="880"/>
      <c r="AD105" s="1"/>
      <c r="AE105" s="1"/>
    </row>
    <row r="106" spans="1:31" customFormat="1" x14ac:dyDescent="0.2">
      <c r="A106" s="272"/>
      <c r="B106" s="554" t="s">
        <v>111</v>
      </c>
      <c r="C106" s="1272"/>
      <c r="D106" s="1273"/>
      <c r="E106" s="562"/>
      <c r="F106" s="563"/>
      <c r="G106" s="564"/>
      <c r="H106" s="565"/>
      <c r="I106" s="1272"/>
      <c r="J106" s="1273"/>
      <c r="K106" s="882"/>
      <c r="L106" s="883"/>
      <c r="M106" s="882"/>
      <c r="N106" s="565"/>
      <c r="O106" s="884"/>
      <c r="P106" s="885"/>
      <c r="Q106" s="882"/>
      <c r="R106" s="565"/>
      <c r="S106" s="882"/>
      <c r="T106" s="565"/>
      <c r="U106" s="891"/>
      <c r="V106" s="885"/>
      <c r="W106" s="882"/>
      <c r="X106" s="565"/>
      <c r="Y106" s="882"/>
      <c r="Z106" s="565"/>
      <c r="AA106" s="880"/>
      <c r="AB106" s="880"/>
      <c r="AC106" s="880"/>
      <c r="AD106" s="1"/>
      <c r="AE106" s="1"/>
    </row>
    <row r="107" spans="1:31" customFormat="1" x14ac:dyDescent="0.2">
      <c r="A107" s="272"/>
      <c r="B107" s="554" t="s">
        <v>112</v>
      </c>
      <c r="C107" s="1272">
        <v>7.65</v>
      </c>
      <c r="D107" s="1273"/>
      <c r="E107" s="562"/>
      <c r="F107" s="563"/>
      <c r="G107" s="564"/>
      <c r="H107" s="565"/>
      <c r="I107" s="1272">
        <v>0.5</v>
      </c>
      <c r="J107" s="1273"/>
      <c r="K107" s="882"/>
      <c r="L107" s="883"/>
      <c r="M107" s="882"/>
      <c r="N107" s="565"/>
      <c r="O107" s="884"/>
      <c r="P107" s="885">
        <v>0.5</v>
      </c>
      <c r="Q107" s="882"/>
      <c r="R107" s="565"/>
      <c r="S107" s="882"/>
      <c r="T107" s="565"/>
      <c r="U107" s="891"/>
      <c r="V107" s="885">
        <v>0</v>
      </c>
      <c r="W107" s="882"/>
      <c r="X107" s="565"/>
      <c r="Y107" s="882"/>
      <c r="Z107" s="565"/>
      <c r="AA107" s="880"/>
      <c r="AB107" s="880"/>
      <c r="AC107" s="880"/>
      <c r="AD107" s="1"/>
      <c r="AE107" s="1"/>
    </row>
    <row r="108" spans="1:31" customFormat="1" x14ac:dyDescent="0.2">
      <c r="A108" s="272"/>
      <c r="B108" s="545" t="s">
        <v>113</v>
      </c>
      <c r="C108" s="1272">
        <v>0</v>
      </c>
      <c r="D108" s="1273"/>
      <c r="E108" s="562"/>
      <c r="F108" s="563"/>
      <c r="G108" s="564"/>
      <c r="H108" s="565"/>
      <c r="I108" s="1272">
        <v>0</v>
      </c>
      <c r="J108" s="1273"/>
      <c r="K108" s="882"/>
      <c r="L108" s="883"/>
      <c r="M108" s="882"/>
      <c r="N108" s="565"/>
      <c r="O108" s="884"/>
      <c r="P108" s="885">
        <v>0.5</v>
      </c>
      <c r="Q108" s="882"/>
      <c r="R108" s="565"/>
      <c r="S108" s="882"/>
      <c r="T108" s="565"/>
      <c r="U108" s="891"/>
      <c r="V108" s="885">
        <v>0.5</v>
      </c>
      <c r="W108" s="882"/>
      <c r="X108" s="565"/>
      <c r="Y108" s="882"/>
      <c r="Z108" s="565"/>
      <c r="AA108" s="880"/>
      <c r="AB108" s="880"/>
      <c r="AC108" s="880"/>
      <c r="AD108" s="1"/>
      <c r="AE108" s="1"/>
    </row>
    <row r="109" spans="1:31" customFormat="1" x14ac:dyDescent="0.2">
      <c r="A109" s="272"/>
      <c r="B109" s="555" t="s">
        <v>114</v>
      </c>
      <c r="C109" s="1272">
        <v>1.1000000000000001</v>
      </c>
      <c r="D109" s="1273"/>
      <c r="E109" s="562"/>
      <c r="F109" s="563"/>
      <c r="G109" s="564"/>
      <c r="H109" s="565"/>
      <c r="I109" s="1272">
        <v>0</v>
      </c>
      <c r="J109" s="1273"/>
      <c r="K109" s="882"/>
      <c r="L109" s="883"/>
      <c r="M109" s="882"/>
      <c r="N109" s="565"/>
      <c r="O109" s="884"/>
      <c r="P109" s="885">
        <v>1.9</v>
      </c>
      <c r="Q109" s="882"/>
      <c r="R109" s="565"/>
      <c r="S109" s="882"/>
      <c r="T109" s="565"/>
      <c r="U109" s="891"/>
      <c r="V109" s="885">
        <f>1.9+2</f>
        <v>3.9</v>
      </c>
      <c r="W109" s="882"/>
      <c r="X109" s="565"/>
      <c r="Y109" s="882"/>
      <c r="Z109" s="565"/>
      <c r="AA109" s="880"/>
      <c r="AB109" s="880"/>
      <c r="AC109" s="880"/>
      <c r="AD109" s="1"/>
      <c r="AE109" s="1"/>
    </row>
    <row r="110" spans="1:31" customFormat="1" x14ac:dyDescent="0.2">
      <c r="A110" s="272"/>
      <c r="B110" s="555" t="s">
        <v>115</v>
      </c>
      <c r="C110" s="1272">
        <f>SUM(C105:D109)</f>
        <v>15.6</v>
      </c>
      <c r="D110" s="1273"/>
      <c r="E110" s="562"/>
      <c r="F110" s="563"/>
      <c r="G110" s="564"/>
      <c r="H110" s="565"/>
      <c r="I110" s="1272">
        <f>SUM(I105:J109)</f>
        <v>0.6</v>
      </c>
      <c r="J110" s="1273"/>
      <c r="K110" s="882"/>
      <c r="L110" s="883"/>
      <c r="M110" s="882"/>
      <c r="N110" s="565"/>
      <c r="O110" s="884"/>
      <c r="P110" s="885">
        <f>SUM(P105:P109)</f>
        <v>5.4</v>
      </c>
      <c r="Q110" s="882"/>
      <c r="R110" s="565"/>
      <c r="S110" s="882"/>
      <c r="T110" s="565"/>
      <c r="U110" s="891"/>
      <c r="V110" s="885">
        <f>SUM(V105:V109)</f>
        <v>6.3</v>
      </c>
      <c r="W110" s="882"/>
      <c r="X110" s="565"/>
      <c r="Y110" s="882"/>
      <c r="Z110" s="565"/>
      <c r="AA110" s="880"/>
      <c r="AB110" s="880"/>
      <c r="AC110" s="880"/>
      <c r="AD110" s="1"/>
      <c r="AE110" s="1"/>
    </row>
    <row r="111" spans="1:31" customFormat="1" ht="13.5" thickBot="1" x14ac:dyDescent="0.25">
      <c r="A111" s="272"/>
      <c r="B111" s="556" t="s">
        <v>125</v>
      </c>
      <c r="C111" s="1272"/>
      <c r="D111" s="1273"/>
      <c r="E111" s="562"/>
      <c r="F111" s="563"/>
      <c r="G111" s="564"/>
      <c r="H111" s="565"/>
      <c r="I111" s="1272"/>
      <c r="J111" s="1273"/>
      <c r="K111" s="882"/>
      <c r="L111" s="883"/>
      <c r="M111" s="882"/>
      <c r="N111" s="565"/>
      <c r="O111" s="884"/>
      <c r="P111" s="847"/>
      <c r="Q111" s="882"/>
      <c r="R111" s="565"/>
      <c r="S111" s="882"/>
      <c r="T111" s="565"/>
      <c r="U111" s="891"/>
      <c r="V111" s="847"/>
      <c r="W111" s="882"/>
      <c r="X111" s="565"/>
      <c r="Y111" s="882"/>
      <c r="Z111" s="565"/>
      <c r="AA111" s="880"/>
      <c r="AB111" s="880"/>
      <c r="AC111" s="880"/>
      <c r="AD111" s="1"/>
      <c r="AE111" s="1"/>
    </row>
    <row r="112" spans="1:31" customFormat="1" x14ac:dyDescent="0.2">
      <c r="A112" s="272"/>
      <c r="B112" s="545" t="s">
        <v>116</v>
      </c>
      <c r="C112" s="1272">
        <v>3052</v>
      </c>
      <c r="D112" s="1273"/>
      <c r="E112" s="562"/>
      <c r="F112" s="563"/>
      <c r="G112" s="564"/>
      <c r="H112" s="565"/>
      <c r="I112" s="1278">
        <v>15</v>
      </c>
      <c r="J112" s="1279"/>
      <c r="K112" s="886"/>
      <c r="L112" s="887"/>
      <c r="M112" s="886"/>
      <c r="N112" s="605"/>
      <c r="O112" s="888"/>
      <c r="P112" s="869">
        <v>406</v>
      </c>
      <c r="Q112" s="886"/>
      <c r="R112" s="605"/>
      <c r="S112" s="886"/>
      <c r="T112" s="605"/>
      <c r="U112" s="1049"/>
      <c r="V112" s="869">
        <v>425</v>
      </c>
      <c r="W112" s="886"/>
      <c r="X112" s="605"/>
      <c r="Y112" s="886"/>
      <c r="Z112" s="605"/>
      <c r="AA112" s="889"/>
      <c r="AB112" s="889"/>
      <c r="AC112" s="890"/>
      <c r="AD112" s="1"/>
      <c r="AE112" s="1"/>
    </row>
    <row r="113" spans="1:31" customFormat="1" x14ac:dyDescent="0.2">
      <c r="A113" s="272"/>
      <c r="B113" s="555" t="s">
        <v>117</v>
      </c>
      <c r="C113" s="1272">
        <v>1586</v>
      </c>
      <c r="D113" s="1273"/>
      <c r="E113" s="562"/>
      <c r="F113" s="563"/>
      <c r="G113" s="564"/>
      <c r="H113" s="565"/>
      <c r="I113" s="1278">
        <v>432</v>
      </c>
      <c r="J113" s="1279"/>
      <c r="K113" s="886"/>
      <c r="L113" s="887"/>
      <c r="M113" s="886"/>
      <c r="N113" s="605"/>
      <c r="O113" s="888"/>
      <c r="P113" s="869">
        <v>132</v>
      </c>
      <c r="Q113" s="886"/>
      <c r="R113" s="605"/>
      <c r="S113" s="886"/>
      <c r="T113" s="605"/>
      <c r="U113" s="1049"/>
      <c r="V113" s="869">
        <v>0</v>
      </c>
      <c r="W113" s="886"/>
      <c r="X113" s="605"/>
      <c r="Y113" s="886"/>
      <c r="Z113" s="605"/>
      <c r="AA113" s="889"/>
      <c r="AB113" s="889"/>
      <c r="AC113" s="890"/>
      <c r="AD113" s="1"/>
      <c r="AE113" s="1"/>
    </row>
    <row r="114" spans="1:31" customFormat="1" x14ac:dyDescent="0.2">
      <c r="A114" s="272"/>
      <c r="B114" s="555" t="s">
        <v>118</v>
      </c>
      <c r="C114" s="1272">
        <v>216</v>
      </c>
      <c r="D114" s="1273"/>
      <c r="E114" s="562"/>
      <c r="F114" s="563"/>
      <c r="G114" s="564"/>
      <c r="H114" s="565"/>
      <c r="I114" s="1278">
        <v>0</v>
      </c>
      <c r="J114" s="1279"/>
      <c r="K114" s="886"/>
      <c r="L114" s="887"/>
      <c r="M114" s="886"/>
      <c r="N114" s="605"/>
      <c r="O114" s="888"/>
      <c r="P114" s="869">
        <v>507</v>
      </c>
      <c r="Q114" s="886"/>
      <c r="R114" s="605"/>
      <c r="S114" s="886"/>
      <c r="T114" s="605"/>
      <c r="U114" s="1049"/>
      <c r="V114" s="869">
        <f>128+312</f>
        <v>440</v>
      </c>
      <c r="W114" s="886"/>
      <c r="X114" s="605"/>
      <c r="Y114" s="886"/>
      <c r="Z114" s="605"/>
      <c r="AA114" s="889"/>
      <c r="AB114" s="889"/>
      <c r="AC114" s="890"/>
      <c r="AD114" s="1"/>
      <c r="AE114" s="1"/>
    </row>
    <row r="115" spans="1:31" customFormat="1" x14ac:dyDescent="0.2">
      <c r="A115" s="272"/>
      <c r="B115" s="555" t="s">
        <v>130</v>
      </c>
      <c r="C115" s="1272">
        <f>SUM(C112:D114)</f>
        <v>4854</v>
      </c>
      <c r="D115" s="1273"/>
      <c r="E115" s="562"/>
      <c r="F115" s="563"/>
      <c r="G115" s="564"/>
      <c r="H115" s="565"/>
      <c r="I115" s="1278">
        <f>SUM(I112:J114)</f>
        <v>447</v>
      </c>
      <c r="J115" s="1279"/>
      <c r="K115" s="886"/>
      <c r="L115" s="887"/>
      <c r="M115" s="886"/>
      <c r="N115" s="605"/>
      <c r="O115" s="888"/>
      <c r="P115" s="869">
        <f>SUM(P112:P114)</f>
        <v>1045</v>
      </c>
      <c r="Q115" s="886"/>
      <c r="R115" s="605"/>
      <c r="S115" s="886"/>
      <c r="T115" s="605"/>
      <c r="U115" s="1049"/>
      <c r="V115" s="869">
        <f>SUM(V112:V114)</f>
        <v>865</v>
      </c>
      <c r="W115" s="886"/>
      <c r="X115" s="605"/>
      <c r="Y115" s="886"/>
      <c r="Z115" s="605"/>
      <c r="AA115" s="889"/>
      <c r="AB115" s="889"/>
      <c r="AC115" s="890"/>
      <c r="AD115" s="1"/>
      <c r="AE115" s="1"/>
    </row>
    <row r="116" spans="1:31" customFormat="1" ht="13.5" thickBot="1" x14ac:dyDescent="0.25">
      <c r="A116" s="272"/>
      <c r="B116" s="556" t="s">
        <v>126</v>
      </c>
      <c r="C116" s="1272"/>
      <c r="D116" s="1273"/>
      <c r="E116" s="562"/>
      <c r="F116" s="563"/>
      <c r="G116" s="564"/>
      <c r="H116" s="565"/>
      <c r="I116" s="1272"/>
      <c r="J116" s="1273"/>
      <c r="K116" s="882"/>
      <c r="L116" s="883"/>
      <c r="M116" s="882"/>
      <c r="N116" s="565"/>
      <c r="O116" s="891"/>
      <c r="P116" s="885"/>
      <c r="Q116" s="882"/>
      <c r="R116" s="565"/>
      <c r="S116" s="882"/>
      <c r="T116" s="565"/>
      <c r="U116" s="891"/>
      <c r="V116" s="885"/>
      <c r="W116" s="882"/>
      <c r="X116" s="565"/>
      <c r="Y116" s="882"/>
      <c r="Z116" s="565"/>
      <c r="AA116" s="880"/>
      <c r="AB116" s="880"/>
      <c r="AC116" s="880"/>
      <c r="AD116" s="4"/>
      <c r="AE116" s="4"/>
    </row>
    <row r="117" spans="1:31" customFormat="1" x14ac:dyDescent="0.2">
      <c r="A117" s="272"/>
      <c r="B117" s="545" t="s">
        <v>127</v>
      </c>
      <c r="C117" s="1272">
        <f>C112/C105</f>
        <v>445.54744525547449</v>
      </c>
      <c r="D117" s="1273"/>
      <c r="E117" s="562"/>
      <c r="F117" s="563"/>
      <c r="G117" s="564"/>
      <c r="H117" s="565"/>
      <c r="I117" s="1272">
        <f>I112/I105</f>
        <v>150</v>
      </c>
      <c r="J117" s="1273" t="e">
        <f>J112/J105</f>
        <v>#DIV/0!</v>
      </c>
      <c r="K117" s="882"/>
      <c r="L117" s="883"/>
      <c r="M117" s="882"/>
      <c r="N117" s="565"/>
      <c r="O117" s="891"/>
      <c r="P117" s="870">
        <f>P112/P105</f>
        <v>162.4</v>
      </c>
      <c r="Q117" s="882"/>
      <c r="R117" s="565"/>
      <c r="S117" s="882"/>
      <c r="T117" s="565"/>
      <c r="U117" s="891"/>
      <c r="V117" s="870">
        <f>V112/V105</f>
        <v>223.68421052631581</v>
      </c>
      <c r="W117" s="882"/>
      <c r="X117" s="565"/>
      <c r="Y117" s="882"/>
      <c r="Z117" s="565"/>
      <c r="AA117" s="880"/>
      <c r="AB117" s="880"/>
      <c r="AC117" s="880"/>
      <c r="AD117" s="281"/>
      <c r="AE117" s="281"/>
    </row>
    <row r="118" spans="1:31" customFormat="1" x14ac:dyDescent="0.2">
      <c r="A118" s="272"/>
      <c r="B118" s="555" t="s">
        <v>128</v>
      </c>
      <c r="C118" s="1272">
        <f>C113/C107</f>
        <v>207.3202614379085</v>
      </c>
      <c r="D118" s="1273"/>
      <c r="E118" s="562"/>
      <c r="F118" s="563"/>
      <c r="G118" s="564"/>
      <c r="H118" s="565"/>
      <c r="I118" s="1272">
        <f>I113/I107</f>
        <v>864</v>
      </c>
      <c r="J118" s="1273" t="e">
        <f>J113/J107</f>
        <v>#DIV/0!</v>
      </c>
      <c r="K118" s="882"/>
      <c r="L118" s="883"/>
      <c r="M118" s="882"/>
      <c r="N118" s="565"/>
      <c r="O118" s="891"/>
      <c r="P118" s="870">
        <f>P113/P107</f>
        <v>264</v>
      </c>
      <c r="Q118" s="882"/>
      <c r="R118" s="565"/>
      <c r="S118" s="882"/>
      <c r="T118" s="565"/>
      <c r="U118" s="891"/>
      <c r="V118" s="870">
        <v>0</v>
      </c>
      <c r="W118" s="882"/>
      <c r="X118" s="565"/>
      <c r="Y118" s="882"/>
      <c r="Z118" s="565"/>
      <c r="AA118" s="880"/>
      <c r="AB118" s="880"/>
      <c r="AC118" s="880"/>
      <c r="AD118" s="281"/>
      <c r="AE118" s="281"/>
    </row>
    <row r="119" spans="1:31" customFormat="1" x14ac:dyDescent="0.2">
      <c r="A119" s="272"/>
      <c r="B119" s="555" t="s">
        <v>129</v>
      </c>
      <c r="C119" s="1272">
        <f>C114/C109</f>
        <v>196.36363636363635</v>
      </c>
      <c r="D119" s="1273"/>
      <c r="E119" s="562"/>
      <c r="F119" s="563"/>
      <c r="G119" s="564"/>
      <c r="H119" s="565"/>
      <c r="I119" s="1272">
        <v>0</v>
      </c>
      <c r="J119" s="1273" t="e">
        <f>J114/J109</f>
        <v>#DIV/0!</v>
      </c>
      <c r="K119" s="882"/>
      <c r="L119" s="883"/>
      <c r="M119" s="882"/>
      <c r="N119" s="565"/>
      <c r="O119" s="891"/>
      <c r="P119" s="870">
        <f>P114/P109</f>
        <v>266.84210526315792</v>
      </c>
      <c r="Q119" s="882"/>
      <c r="R119" s="565"/>
      <c r="S119" s="882"/>
      <c r="T119" s="565"/>
      <c r="U119" s="891"/>
      <c r="V119" s="870">
        <f>V114/V109</f>
        <v>112.82051282051282</v>
      </c>
      <c r="W119" s="882"/>
      <c r="X119" s="565"/>
      <c r="Y119" s="882"/>
      <c r="Z119" s="565"/>
      <c r="AA119" s="880"/>
      <c r="AB119" s="880"/>
      <c r="AC119" s="880"/>
      <c r="AD119" s="281"/>
      <c r="AE119" s="281"/>
    </row>
    <row r="120" spans="1:31" customFormat="1" ht="13.5" thickBot="1" x14ac:dyDescent="0.25">
      <c r="A120" s="272"/>
      <c r="B120" s="568" t="s">
        <v>119</v>
      </c>
      <c r="C120" s="1270">
        <f>C115/C110</f>
        <v>311.15384615384619</v>
      </c>
      <c r="D120" s="1271"/>
      <c r="E120" s="569"/>
      <c r="F120" s="570"/>
      <c r="G120" s="571"/>
      <c r="H120" s="572"/>
      <c r="I120" s="1270">
        <f>I115/I110</f>
        <v>745</v>
      </c>
      <c r="J120" s="1271" t="e">
        <f>J115/J110</f>
        <v>#DIV/0!</v>
      </c>
      <c r="K120" s="571"/>
      <c r="L120" s="572"/>
      <c r="M120" s="571"/>
      <c r="N120" s="572"/>
      <c r="O120" s="892"/>
      <c r="P120" s="871">
        <f>P115/P110</f>
        <v>193.5185185185185</v>
      </c>
      <c r="Q120" s="893"/>
      <c r="R120" s="572"/>
      <c r="S120" s="893"/>
      <c r="T120" s="572"/>
      <c r="U120" s="1235"/>
      <c r="V120" s="871">
        <f>V115/V110</f>
        <v>137.30158730158732</v>
      </c>
      <c r="W120" s="893"/>
      <c r="X120" s="572"/>
      <c r="Y120" s="893"/>
      <c r="Z120" s="572"/>
      <c r="AA120" s="880"/>
      <c r="AB120" s="880"/>
      <c r="AC120" s="880"/>
      <c r="AD120" s="281"/>
      <c r="AE120" s="281"/>
    </row>
    <row r="121" spans="1:31" ht="13.5" thickTop="1" x14ac:dyDescent="0.2">
      <c r="B121" s="868" t="str">
        <f>'HE Summary'!B118</f>
        <v>*Note: For the 2009 collection cycle and later, Instructional FTE was defined according to the national Delaware Study of Instructional Costs and Productivity</v>
      </c>
    </row>
  </sheetData>
  <mergeCells count="132">
    <mergeCell ref="W41:X41"/>
    <mergeCell ref="W68:X68"/>
    <mergeCell ref="W98:X98"/>
    <mergeCell ref="U26:V26"/>
    <mergeCell ref="U41:V41"/>
    <mergeCell ref="U68:V68"/>
    <mergeCell ref="U98:V98"/>
    <mergeCell ref="C98:D98"/>
    <mergeCell ref="E98:F98"/>
    <mergeCell ref="C68:D68"/>
    <mergeCell ref="C41:D41"/>
    <mergeCell ref="C26:D26"/>
    <mergeCell ref="E26:F26"/>
    <mergeCell ref="E41:F41"/>
    <mergeCell ref="C34:D34"/>
    <mergeCell ref="E34:F34"/>
    <mergeCell ref="C37:D37"/>
    <mergeCell ref="E37:F37"/>
    <mergeCell ref="E68:F68"/>
    <mergeCell ref="C35:D35"/>
    <mergeCell ref="E35:F35"/>
    <mergeCell ref="C36:D36"/>
    <mergeCell ref="Q34:R34"/>
    <mergeCell ref="M7:N7"/>
    <mergeCell ref="M26:N26"/>
    <mergeCell ref="G98:H98"/>
    <mergeCell ref="I98:J98"/>
    <mergeCell ref="K98:L98"/>
    <mergeCell ref="I7:J7"/>
    <mergeCell ref="G26:H26"/>
    <mergeCell ref="K34:L34"/>
    <mergeCell ref="M34:N34"/>
    <mergeCell ref="G41:H41"/>
    <mergeCell ref="G34:H34"/>
    <mergeCell ref="I34:J34"/>
    <mergeCell ref="G37:H37"/>
    <mergeCell ref="G68:H68"/>
    <mergeCell ref="G35:H35"/>
    <mergeCell ref="AB26:AC26"/>
    <mergeCell ref="I41:J41"/>
    <mergeCell ref="I68:J68"/>
    <mergeCell ref="K41:L41"/>
    <mergeCell ref="S26:T26"/>
    <mergeCell ref="S41:T41"/>
    <mergeCell ref="S68:T68"/>
    <mergeCell ref="S34:T34"/>
    <mergeCell ref="U34:V34"/>
    <mergeCell ref="O26:P26"/>
    <mergeCell ref="K68:L68"/>
    <mergeCell ref="Q26:R26"/>
    <mergeCell ref="Q41:R41"/>
    <mergeCell ref="Q68:R68"/>
    <mergeCell ref="AB68:AC68"/>
    <mergeCell ref="AB41:AC41"/>
    <mergeCell ref="M41:N41"/>
    <mergeCell ref="M68:N68"/>
    <mergeCell ref="O41:P41"/>
    <mergeCell ref="O68:P68"/>
    <mergeCell ref="W26:X26"/>
    <mergeCell ref="W34:X34"/>
    <mergeCell ref="I35:J35"/>
    <mergeCell ref="O34:P34"/>
    <mergeCell ref="S103:T103"/>
    <mergeCell ref="I103:J103"/>
    <mergeCell ref="K103:L103"/>
    <mergeCell ref="M103:N103"/>
    <mergeCell ref="W103:X103"/>
    <mergeCell ref="C106:D106"/>
    <mergeCell ref="I106:J106"/>
    <mergeCell ref="C103:D103"/>
    <mergeCell ref="E103:F103"/>
    <mergeCell ref="G103:H103"/>
    <mergeCell ref="U103:V103"/>
    <mergeCell ref="O103:P103"/>
    <mergeCell ref="Q103:R103"/>
    <mergeCell ref="I108:J108"/>
    <mergeCell ref="C109:D109"/>
    <mergeCell ref="I109:J109"/>
    <mergeCell ref="C110:D110"/>
    <mergeCell ref="I110:J110"/>
    <mergeCell ref="C111:D111"/>
    <mergeCell ref="I111:J111"/>
    <mergeCell ref="C105:D105"/>
    <mergeCell ref="I105:J105"/>
    <mergeCell ref="C120:D120"/>
    <mergeCell ref="I120:J120"/>
    <mergeCell ref="C116:D116"/>
    <mergeCell ref="I116:J116"/>
    <mergeCell ref="C117:D117"/>
    <mergeCell ref="I117:J117"/>
    <mergeCell ref="C118:D118"/>
    <mergeCell ref="I118:J118"/>
    <mergeCell ref="E36:F36"/>
    <mergeCell ref="G36:H36"/>
    <mergeCell ref="I36:J36"/>
    <mergeCell ref="C112:D112"/>
    <mergeCell ref="I112:J112"/>
    <mergeCell ref="C113:D113"/>
    <mergeCell ref="I113:J113"/>
    <mergeCell ref="C114:D114"/>
    <mergeCell ref="I114:J114"/>
    <mergeCell ref="C115:D115"/>
    <mergeCell ref="I115:J115"/>
    <mergeCell ref="C119:D119"/>
    <mergeCell ref="I119:J119"/>
    <mergeCell ref="C107:D107"/>
    <mergeCell ref="I107:J107"/>
    <mergeCell ref="C108:D108"/>
    <mergeCell ref="Y7:Z7"/>
    <mergeCell ref="Y26:Z26"/>
    <mergeCell ref="Y34:Z34"/>
    <mergeCell ref="Y41:Z41"/>
    <mergeCell ref="Y68:Z68"/>
    <mergeCell ref="Y98:Z98"/>
    <mergeCell ref="Y103:Z103"/>
    <mergeCell ref="I37:J37"/>
    <mergeCell ref="AB34:AC34"/>
    <mergeCell ref="AB103:AC103"/>
    <mergeCell ref="AB7:AC7"/>
    <mergeCell ref="K7:L7"/>
    <mergeCell ref="K26:L26"/>
    <mergeCell ref="I26:J26"/>
    <mergeCell ref="O7:P7"/>
    <mergeCell ref="S7:T7"/>
    <mergeCell ref="U7:V7"/>
    <mergeCell ref="Q7:R7"/>
    <mergeCell ref="AB98:AC98"/>
    <mergeCell ref="M98:N98"/>
    <mergeCell ref="O98:P98"/>
    <mergeCell ref="S98:T98"/>
    <mergeCell ref="Q98:R98"/>
    <mergeCell ref="W7:X7"/>
  </mergeCells>
  <phoneticPr fontId="0" type="noConversion"/>
  <printOptions horizontalCentered="1"/>
  <pageMargins left="0.5" right="0.5" top="0.5" bottom="0.5" header="0.5" footer="0.5"/>
  <pageSetup scale="67" orientation="landscape" r:id="rId1"/>
  <headerFooter alignWithMargins="0">
    <oddFooter>&amp;R&amp;P of &amp;N
&amp;D</oddFooter>
  </headerFooter>
  <rowBreaks count="1" manualBreakCount="1">
    <brk id="64" max="25" man="1"/>
  </rowBreaks>
  <ignoredErrors>
    <ignoredError sqref="S78:S9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5"/>
  <sheetViews>
    <sheetView zoomScaleNormal="100" zoomScaleSheetLayoutView="100" workbookViewId="0">
      <pane xSplit="2" topLeftCell="O1" activePane="topRight" state="frozen"/>
      <selection activeCell="Y91" sqref="Y91:Z91"/>
      <selection pane="topRight" activeCell="Y91" sqref="Y91:Z91"/>
    </sheetView>
  </sheetViews>
  <sheetFormatPr defaultColWidth="10.28515625" defaultRowHeight="12.75" x14ac:dyDescent="0.2"/>
  <cols>
    <col min="1" max="1" width="3.7109375" style="1" customWidth="1"/>
    <col min="2" max="2" width="32.140625" style="1" customWidth="1"/>
    <col min="3" max="3" width="7.7109375" hidden="1" customWidth="1"/>
    <col min="4" max="4" width="10.42578125" hidden="1" customWidth="1"/>
    <col min="5" max="5" width="7.7109375" hidden="1" customWidth="1"/>
    <col min="6" max="6" width="10.42578125" hidden="1" customWidth="1"/>
    <col min="7" max="7" width="7.7109375" hidden="1" customWidth="1"/>
    <col min="8" max="8" width="10.42578125" hidden="1" customWidth="1"/>
    <col min="9" max="9" width="7.7109375" style="199" hidden="1" customWidth="1"/>
    <col min="10" max="10" width="12.140625" style="199" hidden="1" customWidth="1"/>
    <col min="11" max="11" width="7.7109375" style="1" hidden="1" customWidth="1"/>
    <col min="12" max="12" width="12.140625" style="1" hidden="1" customWidth="1"/>
    <col min="13" max="13" width="7.7109375" style="1" hidden="1" customWidth="1"/>
    <col min="14" max="14" width="12.140625" style="1" hidden="1" customWidth="1"/>
    <col min="15" max="15" width="7.7109375" style="1" customWidth="1"/>
    <col min="16" max="16" width="12.140625" style="1" customWidth="1"/>
    <col min="17" max="17" width="7.7109375" style="1" customWidth="1"/>
    <col min="18" max="18" width="11.7109375" style="1" bestFit="1" customWidth="1"/>
    <col min="19" max="19" width="7.7109375" style="1" customWidth="1"/>
    <col min="20" max="20" width="12.140625" style="1" bestFit="1" customWidth="1"/>
    <col min="21" max="21" width="7.7109375" style="1" customWidth="1"/>
    <col min="22" max="22" width="12.140625" style="1" bestFit="1" customWidth="1"/>
    <col min="23" max="23" width="7.7109375" style="1" customWidth="1"/>
    <col min="24" max="24" width="12.140625" style="1" bestFit="1" customWidth="1"/>
    <col min="25" max="25" width="7.7109375" style="1" customWidth="1"/>
    <col min="26" max="26" width="12.140625" style="1" bestFit="1" customWidth="1"/>
    <col min="27" max="27" width="2.7109375" style="1" customWidth="1"/>
    <col min="28" max="28" width="9.140625" style="1" customWidth="1"/>
    <col min="29" max="29" width="11.28515625" style="1" customWidth="1"/>
    <col min="30" max="16384" width="10.28515625" style="1"/>
  </cols>
  <sheetData>
    <row r="1" spans="1:29" ht="18" x14ac:dyDescent="0.25">
      <c r="A1" s="768" t="str">
        <f>Dean_HE!A1</f>
        <v>Department Profile Report - FY 2015</v>
      </c>
      <c r="B1" s="768"/>
      <c r="C1" s="768"/>
      <c r="D1" s="768"/>
      <c r="E1" s="768"/>
      <c r="F1" s="768"/>
      <c r="G1" s="768"/>
      <c r="H1" s="768"/>
      <c r="I1" s="791"/>
      <c r="J1" s="791"/>
      <c r="K1" s="792"/>
      <c r="L1" s="792"/>
      <c r="M1" s="792"/>
      <c r="N1" s="792"/>
      <c r="O1" s="792"/>
      <c r="P1" s="792"/>
      <c r="Q1" s="792"/>
      <c r="R1" s="792"/>
      <c r="S1" s="792"/>
      <c r="T1" s="792"/>
      <c r="U1" s="792"/>
      <c r="V1" s="792"/>
      <c r="W1" s="792"/>
      <c r="X1" s="792"/>
      <c r="Y1" s="792"/>
      <c r="Z1" s="792"/>
      <c r="AA1" s="792"/>
      <c r="AB1" s="792"/>
      <c r="AC1" s="792"/>
    </row>
    <row r="2" spans="1:29" ht="12" x14ac:dyDescent="0.2">
      <c r="C2" s="1"/>
      <c r="D2" s="1"/>
      <c r="E2" s="1"/>
      <c r="F2" s="1"/>
      <c r="G2" s="1"/>
      <c r="H2" s="1"/>
      <c r="I2" s="95"/>
      <c r="J2" s="95"/>
    </row>
    <row r="3" spans="1:29" x14ac:dyDescent="0.2">
      <c r="A3" s="3" t="s">
        <v>25</v>
      </c>
      <c r="C3" s="1"/>
      <c r="D3" s="1"/>
      <c r="E3" s="1"/>
      <c r="F3" s="1"/>
      <c r="G3" s="1"/>
      <c r="H3" s="1"/>
      <c r="I3" s="95"/>
      <c r="J3" s="95"/>
    </row>
    <row r="4" spans="1:29" ht="12" x14ac:dyDescent="0.2">
      <c r="C4" s="1"/>
      <c r="D4" s="1"/>
      <c r="E4" s="1"/>
      <c r="F4" s="1"/>
      <c r="G4" s="1"/>
      <c r="H4" s="1"/>
      <c r="I4" s="95"/>
      <c r="J4" s="95"/>
    </row>
    <row r="5" spans="1:29" x14ac:dyDescent="0.2">
      <c r="A5" s="3" t="s">
        <v>45</v>
      </c>
      <c r="C5" s="1"/>
      <c r="D5" s="1"/>
      <c r="E5" s="1"/>
      <c r="F5" s="1"/>
      <c r="G5" s="1"/>
      <c r="H5" s="1"/>
      <c r="I5" s="95"/>
      <c r="J5" s="95"/>
    </row>
    <row r="6" spans="1:29" ht="13.5" thickBot="1" x14ac:dyDescent="0.25">
      <c r="A6" s="3"/>
      <c r="C6" s="1"/>
      <c r="D6" s="1"/>
      <c r="E6" s="1"/>
      <c r="F6" s="1"/>
      <c r="G6" s="1"/>
      <c r="H6" s="1"/>
      <c r="I6" s="95"/>
      <c r="J6" s="95"/>
    </row>
    <row r="7" spans="1:29" ht="13.5" customHeight="1" thickTop="1" x14ac:dyDescent="0.2">
      <c r="B7" s="41"/>
      <c r="C7" s="19" t="s">
        <v>27</v>
      </c>
      <c r="D7" s="20"/>
      <c r="E7" s="9" t="s">
        <v>28</v>
      </c>
      <c r="F7" s="6"/>
      <c r="G7" s="19" t="s">
        <v>83</v>
      </c>
      <c r="H7" s="20"/>
      <c r="I7" s="1250" t="s">
        <v>93</v>
      </c>
      <c r="J7" s="1250"/>
      <c r="K7" s="1267" t="s">
        <v>94</v>
      </c>
      <c r="L7" s="1250"/>
      <c r="M7" s="1267" t="s">
        <v>100</v>
      </c>
      <c r="N7" s="1251"/>
      <c r="O7" s="1250" t="s">
        <v>143</v>
      </c>
      <c r="P7" s="1251"/>
      <c r="Q7" s="1250" t="s">
        <v>149</v>
      </c>
      <c r="R7" s="1251"/>
      <c r="S7" s="1250" t="s">
        <v>167</v>
      </c>
      <c r="T7" s="1251"/>
      <c r="U7" s="1250" t="s">
        <v>181</v>
      </c>
      <c r="V7" s="1251"/>
      <c r="W7" s="1250" t="s">
        <v>194</v>
      </c>
      <c r="X7" s="1251"/>
      <c r="Y7" s="1250" t="s">
        <v>203</v>
      </c>
      <c r="Z7" s="1251"/>
      <c r="AB7" s="1263" t="s">
        <v>133</v>
      </c>
      <c r="AC7" s="1316"/>
    </row>
    <row r="8" spans="1:29" ht="12" x14ac:dyDescent="0.2">
      <c r="B8" s="42"/>
      <c r="C8" s="21" t="s">
        <v>0</v>
      </c>
      <c r="D8" s="22" t="s">
        <v>1</v>
      </c>
      <c r="E8" s="10" t="s">
        <v>0</v>
      </c>
      <c r="F8" s="7" t="s">
        <v>1</v>
      </c>
      <c r="G8" s="21" t="s">
        <v>0</v>
      </c>
      <c r="H8" s="22" t="s">
        <v>1</v>
      </c>
      <c r="I8" s="299" t="s">
        <v>0</v>
      </c>
      <c r="J8" s="349" t="s">
        <v>1</v>
      </c>
      <c r="K8" s="227" t="s">
        <v>0</v>
      </c>
      <c r="L8" s="349" t="s">
        <v>1</v>
      </c>
      <c r="M8" s="227" t="s">
        <v>0</v>
      </c>
      <c r="N8" s="333" t="s">
        <v>1</v>
      </c>
      <c r="O8" s="299" t="s">
        <v>0</v>
      </c>
      <c r="P8" s="333" t="s">
        <v>1</v>
      </c>
      <c r="Q8" s="299" t="s">
        <v>0</v>
      </c>
      <c r="R8" s="333" t="s">
        <v>1</v>
      </c>
      <c r="S8" s="299" t="s">
        <v>0</v>
      </c>
      <c r="T8" s="333" t="s">
        <v>1</v>
      </c>
      <c r="U8" s="299" t="s">
        <v>0</v>
      </c>
      <c r="V8" s="333" t="s">
        <v>1</v>
      </c>
      <c r="W8" s="299" t="s">
        <v>0</v>
      </c>
      <c r="X8" s="333" t="s">
        <v>1</v>
      </c>
      <c r="Y8" s="299" t="s">
        <v>0</v>
      </c>
      <c r="Z8" s="333" t="s">
        <v>1</v>
      </c>
      <c r="AB8" s="642" t="s">
        <v>0</v>
      </c>
      <c r="AC8" s="643" t="s">
        <v>1</v>
      </c>
    </row>
    <row r="9" spans="1:29" thickBot="1" x14ac:dyDescent="0.25">
      <c r="B9" s="43"/>
      <c r="C9" s="23" t="s">
        <v>2</v>
      </c>
      <c r="D9" s="24" t="s">
        <v>3</v>
      </c>
      <c r="E9" s="16" t="s">
        <v>2</v>
      </c>
      <c r="F9" s="17" t="s">
        <v>3</v>
      </c>
      <c r="G9" s="23" t="s">
        <v>2</v>
      </c>
      <c r="H9" s="24" t="s">
        <v>3</v>
      </c>
      <c r="I9" s="300" t="s">
        <v>2</v>
      </c>
      <c r="J9" s="350" t="s">
        <v>3</v>
      </c>
      <c r="K9" s="228" t="s">
        <v>2</v>
      </c>
      <c r="L9" s="350" t="s">
        <v>3</v>
      </c>
      <c r="M9" s="228" t="s">
        <v>2</v>
      </c>
      <c r="N9" s="334" t="s">
        <v>3</v>
      </c>
      <c r="O9" s="300" t="s">
        <v>2</v>
      </c>
      <c r="P9" s="334" t="s">
        <v>3</v>
      </c>
      <c r="Q9" s="300" t="s">
        <v>2</v>
      </c>
      <c r="R9" s="334" t="s">
        <v>3</v>
      </c>
      <c r="S9" s="300" t="s">
        <v>2</v>
      </c>
      <c r="T9" s="334" t="s">
        <v>3</v>
      </c>
      <c r="U9" s="300" t="s">
        <v>2</v>
      </c>
      <c r="V9" s="334" t="s">
        <v>3</v>
      </c>
      <c r="W9" s="300" t="s">
        <v>2</v>
      </c>
      <c r="X9" s="334" t="s">
        <v>3</v>
      </c>
      <c r="Y9" s="300" t="s">
        <v>2</v>
      </c>
      <c r="Z9" s="334" t="s">
        <v>3</v>
      </c>
      <c r="AB9" s="1005" t="s">
        <v>2</v>
      </c>
      <c r="AC9" s="1006" t="s">
        <v>3</v>
      </c>
    </row>
    <row r="10" spans="1:29" thickTop="1" x14ac:dyDescent="0.2">
      <c r="B10" s="44" t="s">
        <v>4</v>
      </c>
      <c r="C10" s="194"/>
      <c r="D10" s="193"/>
      <c r="E10" s="195"/>
      <c r="F10" s="12"/>
      <c r="G10" s="194"/>
      <c r="H10" s="26"/>
      <c r="I10" s="195"/>
      <c r="J10" s="261"/>
      <c r="K10" s="194"/>
      <c r="L10" s="261"/>
      <c r="M10" s="194"/>
      <c r="N10" s="193"/>
      <c r="O10" s="195"/>
      <c r="P10" s="193"/>
      <c r="Q10" s="195"/>
      <c r="R10" s="193"/>
      <c r="S10" s="195"/>
      <c r="T10" s="193"/>
      <c r="U10" s="195"/>
      <c r="V10" s="193"/>
      <c r="W10" s="195"/>
      <c r="X10" s="193"/>
      <c r="Y10" s="195"/>
      <c r="Z10" s="193"/>
      <c r="AB10" s="1007"/>
      <c r="AC10" s="1008"/>
    </row>
    <row r="11" spans="1:29" ht="12" x14ac:dyDescent="0.2">
      <c r="B11" s="285" t="s">
        <v>175</v>
      </c>
      <c r="C11" s="68"/>
      <c r="D11" s="97"/>
      <c r="E11" s="98"/>
      <c r="F11" s="8"/>
      <c r="G11" s="68"/>
      <c r="H11" s="28"/>
      <c r="I11" s="98"/>
      <c r="J11" s="99"/>
      <c r="K11" s="68"/>
      <c r="L11" s="99"/>
      <c r="M11" s="68"/>
      <c r="N11" s="97"/>
      <c r="O11" s="98"/>
      <c r="P11" s="97"/>
      <c r="Q11" s="98"/>
      <c r="R11" s="97"/>
      <c r="S11" s="98"/>
      <c r="T11" s="97"/>
      <c r="U11" s="98"/>
      <c r="V11" s="97"/>
      <c r="W11" s="98"/>
      <c r="X11" s="97"/>
      <c r="Y11" s="98"/>
      <c r="Z11" s="97"/>
      <c r="AB11" s="649"/>
      <c r="AC11" s="272"/>
    </row>
    <row r="12" spans="1:29" ht="12" x14ac:dyDescent="0.2">
      <c r="B12" s="96" t="s">
        <v>134</v>
      </c>
      <c r="C12" s="278">
        <v>286</v>
      </c>
      <c r="D12" s="102">
        <v>46</v>
      </c>
      <c r="E12" s="384">
        <v>302</v>
      </c>
      <c r="F12" s="52">
        <v>72</v>
      </c>
      <c r="G12" s="278">
        <v>302</v>
      </c>
      <c r="H12" s="102">
        <v>50</v>
      </c>
      <c r="I12" s="384">
        <v>290</v>
      </c>
      <c r="J12" s="101">
        <v>46</v>
      </c>
      <c r="K12" s="278">
        <v>275</v>
      </c>
      <c r="L12" s="101">
        <f>65+2</f>
        <v>67</v>
      </c>
      <c r="M12" s="278">
        <f>1+239+4+3</f>
        <v>247</v>
      </c>
      <c r="N12" s="305">
        <v>49</v>
      </c>
      <c r="O12" s="384">
        <f>235+5</f>
        <v>240</v>
      </c>
      <c r="P12" s="305">
        <v>54</v>
      </c>
      <c r="Q12" s="384">
        <v>228</v>
      </c>
      <c r="R12" s="305">
        <v>54</v>
      </c>
      <c r="S12" s="384">
        <v>223</v>
      </c>
      <c r="T12" s="305">
        <v>54</v>
      </c>
      <c r="U12" s="384">
        <v>197</v>
      </c>
      <c r="V12" s="305">
        <v>38</v>
      </c>
      <c r="W12" s="384">
        <v>212</v>
      </c>
      <c r="X12" s="305">
        <v>51</v>
      </c>
      <c r="Y12" s="384">
        <v>220</v>
      </c>
      <c r="Z12" s="1002"/>
      <c r="AA12" s="272"/>
      <c r="AB12" s="662">
        <f>AVERAGE(W12,U12,S12,Q12,Y12)</f>
        <v>216</v>
      </c>
      <c r="AC12" s="675">
        <f t="shared" ref="AC12:AC15" si="0">AVERAGE(X12,V12,T12,R12,Z12)</f>
        <v>49.25</v>
      </c>
    </row>
    <row r="13" spans="1:29" ht="12" x14ac:dyDescent="0.2">
      <c r="B13" s="96" t="s">
        <v>47</v>
      </c>
      <c r="C13" s="278">
        <v>7</v>
      </c>
      <c r="D13" s="102">
        <v>0</v>
      </c>
      <c r="E13" s="384">
        <v>10</v>
      </c>
      <c r="F13" s="52">
        <v>4</v>
      </c>
      <c r="G13" s="278">
        <v>0</v>
      </c>
      <c r="H13" s="102">
        <v>1</v>
      </c>
      <c r="I13" s="384">
        <v>2</v>
      </c>
      <c r="J13" s="101">
        <v>0</v>
      </c>
      <c r="K13" s="278">
        <v>0</v>
      </c>
      <c r="L13" s="101">
        <v>0</v>
      </c>
      <c r="M13" s="278">
        <v>0</v>
      </c>
      <c r="N13" s="305">
        <v>0</v>
      </c>
      <c r="O13" s="384">
        <v>0</v>
      </c>
      <c r="P13" s="305">
        <v>0</v>
      </c>
      <c r="Q13" s="384">
        <v>0</v>
      </c>
      <c r="R13" s="305">
        <v>0</v>
      </c>
      <c r="S13" s="384">
        <v>0</v>
      </c>
      <c r="T13" s="305">
        <v>0</v>
      </c>
      <c r="U13" s="384">
        <v>0</v>
      </c>
      <c r="V13" s="305">
        <v>0</v>
      </c>
      <c r="W13" s="384">
        <v>0</v>
      </c>
      <c r="X13" s="305">
        <v>0</v>
      </c>
      <c r="Y13" s="384">
        <v>0</v>
      </c>
      <c r="Z13" s="1002"/>
      <c r="AA13" s="272"/>
      <c r="AB13" s="662">
        <f t="shared" ref="AB13:AB15" si="1">AVERAGE(W13,U13,S13,Q13,Y13)</f>
        <v>0</v>
      </c>
      <c r="AC13" s="675">
        <f t="shared" si="0"/>
        <v>0</v>
      </c>
    </row>
    <row r="14" spans="1:29" ht="12" x14ac:dyDescent="0.2">
      <c r="B14" s="96" t="s">
        <v>98</v>
      </c>
      <c r="C14" s="278">
        <v>18</v>
      </c>
      <c r="D14" s="102">
        <v>12</v>
      </c>
      <c r="E14" s="384">
        <v>8</v>
      </c>
      <c r="F14" s="52">
        <v>6</v>
      </c>
      <c r="G14" s="278">
        <v>10</v>
      </c>
      <c r="H14" s="102">
        <v>3</v>
      </c>
      <c r="I14" s="384">
        <v>9</v>
      </c>
      <c r="J14" s="101">
        <v>6</v>
      </c>
      <c r="K14" s="278">
        <v>14</v>
      </c>
      <c r="L14" s="101">
        <v>2</v>
      </c>
      <c r="M14" s="278">
        <f>15+6</f>
        <v>21</v>
      </c>
      <c r="N14" s="305">
        <v>3</v>
      </c>
      <c r="O14" s="384">
        <v>14</v>
      </c>
      <c r="P14" s="305">
        <v>6</v>
      </c>
      <c r="Q14" s="384">
        <v>12</v>
      </c>
      <c r="R14" s="305">
        <v>4</v>
      </c>
      <c r="S14" s="384">
        <v>8</v>
      </c>
      <c r="T14" s="305">
        <v>5</v>
      </c>
      <c r="U14" s="384">
        <v>6</v>
      </c>
      <c r="V14" s="305">
        <v>4</v>
      </c>
      <c r="W14" s="384">
        <v>6</v>
      </c>
      <c r="X14" s="305">
        <f>2+7</f>
        <v>9</v>
      </c>
      <c r="Y14" s="384">
        <v>4</v>
      </c>
      <c r="Z14" s="1002"/>
      <c r="AA14" s="272"/>
      <c r="AB14" s="662">
        <f t="shared" si="1"/>
        <v>7.2</v>
      </c>
      <c r="AC14" s="675">
        <f t="shared" si="0"/>
        <v>5.5</v>
      </c>
    </row>
    <row r="15" spans="1:29" ht="12" x14ac:dyDescent="0.2">
      <c r="B15" s="45" t="s">
        <v>138</v>
      </c>
      <c r="C15" s="1011"/>
      <c r="D15" s="214"/>
      <c r="E15" s="1012"/>
      <c r="F15" s="1013"/>
      <c r="G15" s="1011"/>
      <c r="H15" s="1014"/>
      <c r="I15" s="1012"/>
      <c r="J15" s="1013"/>
      <c r="K15" s="1011"/>
      <c r="L15" s="1013"/>
      <c r="M15" s="68">
        <v>6</v>
      </c>
      <c r="N15" s="305">
        <v>0</v>
      </c>
      <c r="O15" s="98">
        <v>14</v>
      </c>
      <c r="P15" s="305">
        <v>0</v>
      </c>
      <c r="Q15" s="98">
        <v>26</v>
      </c>
      <c r="R15" s="305">
        <v>7</v>
      </c>
      <c r="S15" s="98">
        <v>26</v>
      </c>
      <c r="T15" s="305">
        <v>6</v>
      </c>
      <c r="U15" s="98">
        <v>22</v>
      </c>
      <c r="V15" s="305">
        <v>8</v>
      </c>
      <c r="W15" s="98">
        <v>16</v>
      </c>
      <c r="X15" s="305">
        <v>0</v>
      </c>
      <c r="Y15" s="98">
        <v>13</v>
      </c>
      <c r="Z15" s="1002"/>
      <c r="AA15" s="849"/>
      <c r="AB15" s="662">
        <f t="shared" si="1"/>
        <v>20.6</v>
      </c>
      <c r="AC15" s="959">
        <f t="shared" si="0"/>
        <v>5.25</v>
      </c>
    </row>
    <row r="16" spans="1:29" ht="12" x14ac:dyDescent="0.2">
      <c r="B16" s="1009" t="s">
        <v>21</v>
      </c>
      <c r="C16" s="714"/>
      <c r="D16" s="196"/>
      <c r="E16" s="715"/>
      <c r="F16" s="1010"/>
      <c r="G16" s="714"/>
      <c r="H16" s="196"/>
      <c r="I16" s="715"/>
      <c r="J16" s="263"/>
      <c r="K16" s="714"/>
      <c r="L16" s="263"/>
      <c r="M16" s="714"/>
      <c r="N16" s="196"/>
      <c r="O16" s="715"/>
      <c r="P16" s="196"/>
      <c r="Q16" s="715"/>
      <c r="R16" s="196"/>
      <c r="S16" s="715"/>
      <c r="T16" s="196"/>
      <c r="U16" s="715"/>
      <c r="V16" s="196"/>
      <c r="W16" s="715"/>
      <c r="X16" s="196"/>
      <c r="Y16" s="715"/>
      <c r="Z16" s="1023"/>
      <c r="AA16" s="272"/>
      <c r="AB16" s="775"/>
      <c r="AC16" s="675"/>
    </row>
    <row r="17" spans="1:31" thickBot="1" x14ac:dyDescent="0.25">
      <c r="B17" s="109" t="s">
        <v>134</v>
      </c>
      <c r="C17" s="264">
        <v>141</v>
      </c>
      <c r="D17" s="204">
        <v>20</v>
      </c>
      <c r="E17" s="191">
        <v>149</v>
      </c>
      <c r="F17" s="1004">
        <v>25</v>
      </c>
      <c r="G17" s="264">
        <v>147</v>
      </c>
      <c r="H17" s="204">
        <v>35</v>
      </c>
      <c r="I17" s="191">
        <v>141</v>
      </c>
      <c r="J17" s="522">
        <v>24</v>
      </c>
      <c r="K17" s="264">
        <v>133</v>
      </c>
      <c r="L17" s="522">
        <v>30</v>
      </c>
      <c r="M17" s="264">
        <f>141+1</f>
        <v>142</v>
      </c>
      <c r="N17" s="712">
        <v>23</v>
      </c>
      <c r="O17" s="191">
        <f>136+2</f>
        <v>138</v>
      </c>
      <c r="P17" s="712">
        <v>29</v>
      </c>
      <c r="Q17" s="191">
        <v>153</v>
      </c>
      <c r="R17" s="712">
        <v>20</v>
      </c>
      <c r="S17" s="191">
        <v>140</v>
      </c>
      <c r="T17" s="712">
        <v>22</v>
      </c>
      <c r="U17" s="191">
        <v>140</v>
      </c>
      <c r="V17" s="712">
        <v>27</v>
      </c>
      <c r="W17" s="191">
        <v>139</v>
      </c>
      <c r="X17" s="712">
        <v>34</v>
      </c>
      <c r="Y17" s="191">
        <v>114</v>
      </c>
      <c r="Z17" s="1024"/>
      <c r="AA17" s="272"/>
      <c r="AB17" s="667">
        <f t="shared" ref="AB17:AC17" si="2">AVERAGE(W17,U17,S17,Q17,Y17)</f>
        <v>137.19999999999999</v>
      </c>
      <c r="AC17" s="970">
        <f t="shared" si="2"/>
        <v>25.75</v>
      </c>
    </row>
    <row r="18" spans="1:31" thickTop="1" x14ac:dyDescent="0.2">
      <c r="B18" s="64" t="s">
        <v>102</v>
      </c>
      <c r="C18" s="202"/>
      <c r="D18" s="201"/>
      <c r="E18" s="202"/>
      <c r="F18" s="67"/>
      <c r="G18" s="202"/>
      <c r="H18" s="67"/>
      <c r="I18" s="202"/>
      <c r="J18" s="203"/>
      <c r="K18" s="202"/>
      <c r="L18" s="203"/>
      <c r="M18" s="202"/>
      <c r="N18" s="203"/>
      <c r="O18" s="202"/>
      <c r="P18" s="203"/>
      <c r="Q18" s="202"/>
      <c r="R18" s="203"/>
      <c r="S18" s="202"/>
      <c r="T18" s="203"/>
      <c r="U18" s="202"/>
      <c r="V18" s="203"/>
      <c r="W18" s="202"/>
      <c r="X18" s="203"/>
      <c r="Y18" s="202"/>
      <c r="Z18" s="203"/>
      <c r="AC18" s="4"/>
    </row>
    <row r="19" spans="1:31" thickBot="1" x14ac:dyDescent="0.25">
      <c r="C19" s="1"/>
      <c r="D19" s="1"/>
      <c r="E19" s="1"/>
      <c r="F19" s="1"/>
      <c r="G19" s="1"/>
      <c r="H19" s="1"/>
      <c r="I19" s="95"/>
      <c r="J19" s="95"/>
      <c r="K19" s="95"/>
      <c r="L19" s="95"/>
      <c r="M19" s="95"/>
      <c r="N19" s="95"/>
      <c r="O19" s="95"/>
      <c r="P19" s="95"/>
      <c r="Q19" s="95"/>
      <c r="R19" s="95"/>
      <c r="S19" s="95"/>
      <c r="T19" s="95"/>
      <c r="U19" s="95"/>
      <c r="V19" s="95"/>
      <c r="W19" s="95"/>
      <c r="X19" s="95"/>
      <c r="Y19" s="95"/>
      <c r="Z19" s="95"/>
    </row>
    <row r="20" spans="1:31" ht="14.25" customHeight="1" thickTop="1" thickBot="1" x14ac:dyDescent="0.25">
      <c r="B20" s="15"/>
      <c r="C20" s="1292" t="s">
        <v>27</v>
      </c>
      <c r="D20" s="1293"/>
      <c r="E20" s="1294" t="s">
        <v>28</v>
      </c>
      <c r="F20" s="1294"/>
      <c r="G20" s="1289" t="s">
        <v>83</v>
      </c>
      <c r="H20" s="1253"/>
      <c r="I20" s="1286" t="s">
        <v>93</v>
      </c>
      <c r="J20" s="1254"/>
      <c r="K20" s="1286" t="s">
        <v>94</v>
      </c>
      <c r="L20" s="1254"/>
      <c r="M20" s="1286" t="s">
        <v>100</v>
      </c>
      <c r="N20" s="1255"/>
      <c r="O20" s="1254" t="s">
        <v>143</v>
      </c>
      <c r="P20" s="1255"/>
      <c r="Q20" s="1254" t="s">
        <v>149</v>
      </c>
      <c r="R20" s="1255"/>
      <c r="S20" s="1254" t="s">
        <v>167</v>
      </c>
      <c r="T20" s="1255"/>
      <c r="U20" s="1254" t="s">
        <v>181</v>
      </c>
      <c r="V20" s="1255"/>
      <c r="W20" s="1254" t="s">
        <v>194</v>
      </c>
      <c r="X20" s="1255"/>
      <c r="Y20" s="1254" t="s">
        <v>203</v>
      </c>
      <c r="Z20" s="1255"/>
      <c r="AB20" s="1259" t="s">
        <v>133</v>
      </c>
      <c r="AC20" s="1260"/>
    </row>
    <row r="21" spans="1:31" ht="12" x14ac:dyDescent="0.2">
      <c r="B21" s="406" t="s">
        <v>8</v>
      </c>
      <c r="C21" s="129"/>
      <c r="D21" s="130"/>
      <c r="E21" s="31"/>
      <c r="F21" s="31"/>
      <c r="G21" s="241"/>
      <c r="H21" s="303"/>
      <c r="I21" s="301"/>
      <c r="J21" s="301"/>
      <c r="K21" s="229"/>
      <c r="L21" s="301"/>
      <c r="M21" s="229"/>
      <c r="N21" s="326"/>
      <c r="O21" s="301"/>
      <c r="P21" s="326"/>
      <c r="Q21" s="301"/>
      <c r="R21" s="326"/>
      <c r="S21" s="301"/>
      <c r="T21" s="326"/>
      <c r="U21" s="301"/>
      <c r="V21" s="326"/>
      <c r="W21" s="301"/>
      <c r="X21" s="326"/>
      <c r="Y21" s="301"/>
      <c r="Z21" s="326"/>
      <c r="AB21" s="639"/>
      <c r="AC21" s="638"/>
    </row>
    <row r="22" spans="1:31" ht="12" x14ac:dyDescent="0.2">
      <c r="B22" s="48" t="s">
        <v>9</v>
      </c>
      <c r="C22" s="131"/>
      <c r="D22" s="132"/>
      <c r="E22" s="32"/>
      <c r="F22" s="32"/>
      <c r="G22" s="242"/>
      <c r="H22" s="304"/>
      <c r="I22" s="284"/>
      <c r="J22" s="284"/>
      <c r="K22" s="209"/>
      <c r="L22" s="284"/>
      <c r="M22" s="209"/>
      <c r="N22" s="313"/>
      <c r="O22" s="284"/>
      <c r="P22" s="313"/>
      <c r="Q22" s="284"/>
      <c r="R22" s="313"/>
      <c r="S22" s="284"/>
      <c r="T22" s="313"/>
      <c r="U22" s="284"/>
      <c r="V22" s="313"/>
      <c r="W22" s="284"/>
      <c r="X22" s="313"/>
      <c r="Y22" s="284"/>
      <c r="Z22" s="313"/>
      <c r="AB22" s="523"/>
      <c r="AC22" s="272"/>
    </row>
    <row r="23" spans="1:31" ht="12" x14ac:dyDescent="0.2">
      <c r="B23" s="48" t="s">
        <v>10</v>
      </c>
      <c r="C23" s="131"/>
      <c r="D23" s="133">
        <f>1391+501</f>
        <v>1892</v>
      </c>
      <c r="E23" s="32"/>
      <c r="F23" s="52">
        <f>927+482</f>
        <v>1409</v>
      </c>
      <c r="G23" s="242"/>
      <c r="H23" s="305">
        <f>527+885</f>
        <v>1412</v>
      </c>
      <c r="I23" s="284"/>
      <c r="J23" s="101">
        <f>693+437</f>
        <v>1130</v>
      </c>
      <c r="K23" s="209"/>
      <c r="L23" s="101">
        <f>735+503</f>
        <v>1238</v>
      </c>
      <c r="M23" s="209"/>
      <c r="N23" s="305">
        <v>1279</v>
      </c>
      <c r="O23" s="284"/>
      <c r="P23" s="305">
        <v>1375</v>
      </c>
      <c r="Q23" s="284"/>
      <c r="R23" s="305">
        <v>1434</v>
      </c>
      <c r="S23" s="284"/>
      <c r="T23" s="305">
        <v>1083</v>
      </c>
      <c r="U23" s="284"/>
      <c r="V23" s="305">
        <v>927</v>
      </c>
      <c r="W23" s="284"/>
      <c r="X23" s="305">
        <v>1131</v>
      </c>
      <c r="Y23" s="284"/>
      <c r="Z23" s="1002"/>
      <c r="AB23" s="614"/>
      <c r="AC23" s="650">
        <f t="shared" ref="AC23:AC27" si="3">AVERAGE(X23,V23,T23,R23,Z23)</f>
        <v>1143.75</v>
      </c>
    </row>
    <row r="24" spans="1:31" ht="12" x14ac:dyDescent="0.2">
      <c r="B24" s="48" t="s">
        <v>11</v>
      </c>
      <c r="C24" s="131"/>
      <c r="D24" s="133">
        <f>2851+1336</f>
        <v>4187</v>
      </c>
      <c r="E24" s="32"/>
      <c r="F24" s="52">
        <f>2727+1479</f>
        <v>4206</v>
      </c>
      <c r="G24" s="242"/>
      <c r="H24" s="305">
        <f>1573+2614</f>
        <v>4187</v>
      </c>
      <c r="I24" s="284"/>
      <c r="J24" s="101">
        <f>2458+1417</f>
        <v>3875</v>
      </c>
      <c r="K24" s="209"/>
      <c r="L24" s="101">
        <f>2370+1350</f>
        <v>3720</v>
      </c>
      <c r="M24" s="209"/>
      <c r="N24" s="305">
        <v>3713</v>
      </c>
      <c r="O24" s="284"/>
      <c r="P24" s="305">
        <v>3680</v>
      </c>
      <c r="Q24" s="284"/>
      <c r="R24" s="305">
        <v>3703</v>
      </c>
      <c r="S24" s="284"/>
      <c r="T24" s="305">
        <v>3759</v>
      </c>
      <c r="U24" s="284"/>
      <c r="V24" s="305">
        <v>3895</v>
      </c>
      <c r="W24" s="284"/>
      <c r="X24" s="305">
        <v>3535</v>
      </c>
      <c r="Y24" s="284"/>
      <c r="Z24" s="1002"/>
      <c r="AB24" s="636"/>
      <c r="AC24" s="650">
        <f t="shared" si="3"/>
        <v>3723</v>
      </c>
    </row>
    <row r="25" spans="1:31" ht="12" x14ac:dyDescent="0.2">
      <c r="B25" s="48" t="s">
        <v>12</v>
      </c>
      <c r="C25" s="131"/>
      <c r="D25" s="133">
        <f>217+54</f>
        <v>271</v>
      </c>
      <c r="E25" s="32"/>
      <c r="F25" s="52">
        <f>123</f>
        <v>123</v>
      </c>
      <c r="G25" s="242"/>
      <c r="H25" s="305">
        <f>30+114</f>
        <v>144</v>
      </c>
      <c r="I25" s="284"/>
      <c r="J25" s="101">
        <f>133+34</f>
        <v>167</v>
      </c>
      <c r="K25" s="209"/>
      <c r="L25" s="101">
        <f>243+36</f>
        <v>279</v>
      </c>
      <c r="M25" s="209"/>
      <c r="N25" s="305">
        <v>236</v>
      </c>
      <c r="O25" s="284"/>
      <c r="P25" s="305">
        <v>423</v>
      </c>
      <c r="Q25" s="284"/>
      <c r="R25" s="305">
        <v>438</v>
      </c>
      <c r="S25" s="284"/>
      <c r="T25" s="305">
        <v>392</v>
      </c>
      <c r="U25" s="284"/>
      <c r="V25" s="305">
        <v>328</v>
      </c>
      <c r="W25" s="284"/>
      <c r="X25" s="305">
        <v>231</v>
      </c>
      <c r="Y25" s="284"/>
      <c r="Z25" s="1002"/>
      <c r="AB25" s="636"/>
      <c r="AC25" s="650">
        <f t="shared" si="3"/>
        <v>347.25</v>
      </c>
    </row>
    <row r="26" spans="1:31" ht="12" x14ac:dyDescent="0.2">
      <c r="B26" s="48" t="s">
        <v>13</v>
      </c>
      <c r="C26" s="131"/>
      <c r="D26" s="133">
        <v>83</v>
      </c>
      <c r="E26" s="32"/>
      <c r="F26" s="52">
        <f>53</f>
        <v>53</v>
      </c>
      <c r="G26" s="242"/>
      <c r="H26" s="305">
        <v>50</v>
      </c>
      <c r="I26" s="284"/>
      <c r="J26" s="101">
        <v>21</v>
      </c>
      <c r="K26" s="209"/>
      <c r="L26" s="101">
        <f>49</f>
        <v>49</v>
      </c>
      <c r="M26" s="209"/>
      <c r="N26" s="305">
        <v>40</v>
      </c>
      <c r="O26" s="284"/>
      <c r="P26" s="305">
        <v>41</v>
      </c>
      <c r="Q26" s="284"/>
      <c r="R26" s="305">
        <v>45</v>
      </c>
      <c r="S26" s="284"/>
      <c r="T26" s="305">
        <v>29</v>
      </c>
      <c r="U26" s="284"/>
      <c r="V26" s="305">
        <v>3</v>
      </c>
      <c r="W26" s="284"/>
      <c r="X26" s="305">
        <v>13</v>
      </c>
      <c r="Y26" s="284"/>
      <c r="Z26" s="1002"/>
      <c r="AB26" s="636"/>
      <c r="AC26" s="650">
        <f t="shared" si="3"/>
        <v>22.5</v>
      </c>
    </row>
    <row r="27" spans="1:31" thickBot="1" x14ac:dyDescent="0.25">
      <c r="B27" s="49" t="s">
        <v>14</v>
      </c>
      <c r="C27" s="134"/>
      <c r="D27" s="135">
        <f>SUM(D23:D26)</f>
        <v>6433</v>
      </c>
      <c r="E27" s="57"/>
      <c r="F27" s="55">
        <f>SUM(F23:F26)</f>
        <v>5791</v>
      </c>
      <c r="G27" s="246"/>
      <c r="H27" s="306">
        <f>SUM(H23:H26)</f>
        <v>5793</v>
      </c>
      <c r="I27" s="302"/>
      <c r="J27" s="361">
        <f>SUM(J23:J26)</f>
        <v>5193</v>
      </c>
      <c r="K27" s="213"/>
      <c r="L27" s="364">
        <f>SUM(L23:L26)</f>
        <v>5286</v>
      </c>
      <c r="M27" s="213"/>
      <c r="N27" s="306">
        <v>5268</v>
      </c>
      <c r="O27" s="302"/>
      <c r="P27" s="306">
        <f>SUM(P23:P26)</f>
        <v>5519</v>
      </c>
      <c r="Q27" s="302"/>
      <c r="R27" s="306">
        <f>SUM(R23:R26)</f>
        <v>5620</v>
      </c>
      <c r="S27" s="302"/>
      <c r="T27" s="306">
        <f>SUM(T23:T26)</f>
        <v>5263</v>
      </c>
      <c r="U27" s="302"/>
      <c r="V27" s="306">
        <f>SUM(V23:V26)</f>
        <v>5153</v>
      </c>
      <c r="W27" s="302"/>
      <c r="X27" s="306">
        <f>SUM(X23:X26)</f>
        <v>4910</v>
      </c>
      <c r="Y27" s="302"/>
      <c r="Z27" s="1020"/>
      <c r="AB27" s="575"/>
      <c r="AC27" s="749">
        <f t="shared" si="3"/>
        <v>5236.5</v>
      </c>
    </row>
    <row r="28" spans="1:31" ht="14.25" thickTop="1" thickBot="1" x14ac:dyDescent="0.25">
      <c r="A28" s="272"/>
      <c r="B28" s="576" t="s">
        <v>124</v>
      </c>
      <c r="C28" s="1282" t="s">
        <v>29</v>
      </c>
      <c r="D28" s="1295"/>
      <c r="E28" s="1282" t="s">
        <v>30</v>
      </c>
      <c r="F28" s="1295"/>
      <c r="G28" s="1280" t="s">
        <v>120</v>
      </c>
      <c r="H28" s="1253"/>
      <c r="I28" s="1280" t="s">
        <v>121</v>
      </c>
      <c r="J28" s="1291"/>
      <c r="K28" s="1280" t="s">
        <v>122</v>
      </c>
      <c r="L28" s="1291"/>
      <c r="M28" s="1269" t="s">
        <v>123</v>
      </c>
      <c r="N28" s="1253"/>
      <c r="O28" s="1252" t="s">
        <v>144</v>
      </c>
      <c r="P28" s="1253"/>
      <c r="Q28" s="1252" t="s">
        <v>150</v>
      </c>
      <c r="R28" s="1253"/>
      <c r="S28" s="1252" t="s">
        <v>164</v>
      </c>
      <c r="T28" s="1253"/>
      <c r="U28" s="1252" t="s">
        <v>182</v>
      </c>
      <c r="V28" s="1317"/>
      <c r="W28" s="1252" t="s">
        <v>195</v>
      </c>
      <c r="X28" s="1253"/>
      <c r="Y28" s="1252" t="s">
        <v>204</v>
      </c>
      <c r="Z28" s="1253"/>
      <c r="AA28" s="664"/>
      <c r="AB28" s="1259" t="s">
        <v>133</v>
      </c>
      <c r="AC28" s="1260"/>
      <c r="AD28" s="283"/>
      <c r="AE28" s="283"/>
    </row>
    <row r="29" spans="1:31" x14ac:dyDescent="0.2">
      <c r="A29" s="272"/>
      <c r="B29" s="577" t="s">
        <v>107</v>
      </c>
      <c r="C29" s="1297">
        <v>0.82499999999999996</v>
      </c>
      <c r="D29" s="1298"/>
      <c r="E29" s="1299">
        <v>0.83199999999999996</v>
      </c>
      <c r="F29" s="1300"/>
      <c r="G29" s="1287">
        <v>0.82699999999999996</v>
      </c>
      <c r="H29" s="1288"/>
      <c r="I29" s="1287">
        <v>0.876</v>
      </c>
      <c r="J29" s="1288"/>
      <c r="K29" s="578"/>
      <c r="L29" s="579">
        <v>0.86299999999999999</v>
      </c>
      <c r="M29" s="580"/>
      <c r="N29" s="796">
        <v>0.86299999999999999</v>
      </c>
      <c r="O29" s="794"/>
      <c r="P29" s="796">
        <v>0.83199999999999996</v>
      </c>
      <c r="Q29" s="794"/>
      <c r="R29" s="796">
        <v>0.83399999999999996</v>
      </c>
      <c r="S29" s="794"/>
      <c r="T29" s="796">
        <v>0.85599999999999998</v>
      </c>
      <c r="U29" s="794"/>
      <c r="V29" s="796">
        <v>0.876</v>
      </c>
      <c r="W29" s="794"/>
      <c r="X29" s="796">
        <v>0.88300000000000001</v>
      </c>
      <c r="Y29" s="794"/>
      <c r="Z29" s="796">
        <v>0.86699999999999999</v>
      </c>
      <c r="AA29" s="851"/>
      <c r="AB29" s="651"/>
      <c r="AC29" s="581">
        <f>AVERAGE(X29,V29,T29,R29,Z29)</f>
        <v>0.86319999999999997</v>
      </c>
      <c r="AD29" s="283"/>
      <c r="AE29" s="283"/>
    </row>
    <row r="30" spans="1:31" x14ac:dyDescent="0.2">
      <c r="A30" s="272"/>
      <c r="B30" s="582" t="s">
        <v>108</v>
      </c>
      <c r="C30" s="1301">
        <v>3.4000000000000002E-2</v>
      </c>
      <c r="D30" s="1300"/>
      <c r="E30" s="1274">
        <v>1.6E-2</v>
      </c>
      <c r="F30" s="1275"/>
      <c r="G30" s="1276">
        <v>2.1000000000000001E-2</v>
      </c>
      <c r="H30" s="1277"/>
      <c r="I30" s="1276">
        <v>1.6E-2</v>
      </c>
      <c r="J30" s="1277"/>
      <c r="K30" s="583"/>
      <c r="L30" s="584">
        <v>2.8000000000000001E-2</v>
      </c>
      <c r="M30" s="583"/>
      <c r="N30" s="797">
        <v>3.7999999999999999E-2</v>
      </c>
      <c r="O30" s="795"/>
      <c r="P30" s="797">
        <v>5.2999999999999999E-2</v>
      </c>
      <c r="Q30" s="795"/>
      <c r="R30" s="797">
        <v>5.7000000000000002E-2</v>
      </c>
      <c r="S30" s="795"/>
      <c r="T30" s="797">
        <v>4.8000000000000001E-2</v>
      </c>
      <c r="U30" s="795"/>
      <c r="V30" s="797">
        <v>4.7E-2</v>
      </c>
      <c r="W30" s="795"/>
      <c r="X30" s="797">
        <v>2.4E-2</v>
      </c>
      <c r="Y30" s="795"/>
      <c r="Z30" s="797">
        <v>2.9000000000000001E-2</v>
      </c>
      <c r="AA30" s="851"/>
      <c r="AB30" s="652"/>
      <c r="AC30" s="585">
        <f>AVERAGE(X30,V30,T30,R30,Z30)</f>
        <v>4.1000000000000002E-2</v>
      </c>
      <c r="AD30" s="283"/>
      <c r="AE30" s="283"/>
    </row>
    <row r="31" spans="1:31" ht="13.5" thickBot="1" x14ac:dyDescent="0.25">
      <c r="B31" s="586" t="s">
        <v>109</v>
      </c>
      <c r="C31" s="1257">
        <f>1-SUM(C29:D30)</f>
        <v>0.14100000000000001</v>
      </c>
      <c r="D31" s="1296"/>
      <c r="E31" s="1257">
        <f>1-SUM(E29:F30)</f>
        <v>0.15200000000000002</v>
      </c>
      <c r="F31" s="1258"/>
      <c r="G31" s="1257">
        <f>1-SUM(G29:H30)</f>
        <v>0.15200000000000002</v>
      </c>
      <c r="H31" s="1258"/>
      <c r="I31" s="1257">
        <f>1-SUM(I29:J30)</f>
        <v>0.10799999999999998</v>
      </c>
      <c r="J31" s="1258"/>
      <c r="K31" s="587"/>
      <c r="L31" s="590">
        <f>1-SUM(L29:L30)</f>
        <v>0.10899999999999999</v>
      </c>
      <c r="M31" s="587"/>
      <c r="N31" s="590">
        <f>1-SUM(N29:N30)</f>
        <v>9.8999999999999977E-2</v>
      </c>
      <c r="O31" s="587"/>
      <c r="P31" s="590">
        <f>1-SUM(P29:P30)</f>
        <v>0.11499999999999999</v>
      </c>
      <c r="Q31" s="802"/>
      <c r="R31" s="590">
        <f>1-R29-R30</f>
        <v>0.10900000000000004</v>
      </c>
      <c r="S31" s="802"/>
      <c r="T31" s="590">
        <f>1-T29-T30</f>
        <v>9.6000000000000016E-2</v>
      </c>
      <c r="U31" s="802"/>
      <c r="V31" s="590">
        <f>1-V29-V30</f>
        <v>7.6999999999999999E-2</v>
      </c>
      <c r="W31" s="802"/>
      <c r="X31" s="590">
        <f>1-X29-X30</f>
        <v>9.2999999999999999E-2</v>
      </c>
      <c r="Y31" s="802"/>
      <c r="Z31" s="590">
        <f>1-Z29-Z30</f>
        <v>0.10400000000000001</v>
      </c>
      <c r="AA31" s="851"/>
      <c r="AB31" s="588"/>
      <c r="AC31" s="589">
        <f>AVERAGE(X31,V31,T31,R31,Z31)</f>
        <v>9.5800000000000024E-2</v>
      </c>
      <c r="AD31" s="283"/>
      <c r="AE31" s="283"/>
    </row>
    <row r="32" spans="1:31" thickTop="1" x14ac:dyDescent="0.2">
      <c r="B32" s="83"/>
      <c r="C32" s="84"/>
      <c r="D32" s="85"/>
      <c r="E32" s="84"/>
      <c r="F32" s="85"/>
      <c r="G32" s="235"/>
      <c r="H32" s="236"/>
      <c r="I32" s="235"/>
      <c r="J32" s="236"/>
      <c r="K32" s="235"/>
      <c r="L32" s="236"/>
      <c r="M32" s="235"/>
      <c r="N32" s="236"/>
      <c r="O32" s="235"/>
      <c r="P32" s="236"/>
      <c r="Q32" s="235"/>
      <c r="R32" s="236"/>
      <c r="S32" s="235"/>
      <c r="T32" s="236"/>
      <c r="U32" s="235"/>
      <c r="V32" s="236"/>
      <c r="W32" s="235"/>
      <c r="X32" s="236"/>
      <c r="Y32" s="235"/>
      <c r="Z32" s="236"/>
    </row>
    <row r="33" spans="1:29" x14ac:dyDescent="0.2">
      <c r="A33" s="86" t="s">
        <v>37</v>
      </c>
      <c r="B33" s="70"/>
      <c r="C33" s="4"/>
      <c r="D33" s="4"/>
      <c r="E33" s="4"/>
      <c r="F33" s="4"/>
      <c r="G33" s="202"/>
      <c r="H33" s="202"/>
      <c r="I33" s="202"/>
      <c r="J33" s="202"/>
      <c r="K33" s="202"/>
      <c r="L33" s="202"/>
      <c r="M33" s="202"/>
      <c r="N33" s="202"/>
      <c r="O33" s="202"/>
      <c r="P33" s="202"/>
      <c r="Q33" s="202"/>
      <c r="R33" s="202"/>
      <c r="S33" s="202"/>
      <c r="T33" s="202"/>
      <c r="U33" s="202"/>
      <c r="V33" s="202"/>
      <c r="W33" s="202"/>
      <c r="X33" s="202"/>
      <c r="Y33" s="202"/>
      <c r="Z33" s="202"/>
    </row>
    <row r="34" spans="1:29" ht="13.5" thickBot="1" x14ac:dyDescent="0.25">
      <c r="A34" s="86"/>
      <c r="B34" s="70"/>
      <c r="C34" s="4"/>
      <c r="D34" s="4"/>
      <c r="E34" s="4"/>
      <c r="F34" s="4"/>
      <c r="G34" s="202"/>
      <c r="H34" s="202"/>
      <c r="I34" s="202"/>
      <c r="J34" s="202"/>
      <c r="K34" s="202"/>
      <c r="L34" s="202"/>
      <c r="M34" s="202"/>
      <c r="N34" s="202"/>
      <c r="O34" s="202"/>
      <c r="P34" s="202"/>
      <c r="Q34" s="202"/>
      <c r="R34" s="202"/>
      <c r="S34" s="202"/>
      <c r="T34" s="202"/>
      <c r="U34" s="202"/>
      <c r="V34" s="202"/>
      <c r="W34" s="202"/>
      <c r="X34" s="202"/>
      <c r="Y34" s="202"/>
      <c r="Z34" s="202"/>
    </row>
    <row r="35" spans="1:29" ht="14.25" thickTop="1" thickBot="1" x14ac:dyDescent="0.25">
      <c r="A35" s="3"/>
      <c r="B35" s="400" t="s">
        <v>38</v>
      </c>
      <c r="C35" s="1294" t="s">
        <v>27</v>
      </c>
      <c r="D35" s="1293"/>
      <c r="E35" s="1294" t="s">
        <v>28</v>
      </c>
      <c r="F35" s="1294"/>
      <c r="G35" s="1286" t="s">
        <v>83</v>
      </c>
      <c r="H35" s="1253"/>
      <c r="I35" s="1286" t="s">
        <v>93</v>
      </c>
      <c r="J35" s="1254"/>
      <c r="K35" s="1286" t="s">
        <v>94</v>
      </c>
      <c r="L35" s="1254"/>
      <c r="M35" s="1286" t="s">
        <v>100</v>
      </c>
      <c r="N35" s="1255"/>
      <c r="O35" s="1254" t="s">
        <v>143</v>
      </c>
      <c r="P35" s="1255"/>
      <c r="Q35" s="1254" t="s">
        <v>149</v>
      </c>
      <c r="R35" s="1255"/>
      <c r="S35" s="1254" t="s">
        <v>167</v>
      </c>
      <c r="T35" s="1255"/>
      <c r="U35" s="1254" t="s">
        <v>181</v>
      </c>
      <c r="V35" s="1255"/>
      <c r="W35" s="1254" t="s">
        <v>194</v>
      </c>
      <c r="X35" s="1255"/>
      <c r="Y35" s="1254" t="s">
        <v>203</v>
      </c>
      <c r="Z35" s="1255"/>
      <c r="AB35" s="1259" t="s">
        <v>133</v>
      </c>
      <c r="AC35" s="1260"/>
    </row>
    <row r="36" spans="1:29" x14ac:dyDescent="0.2">
      <c r="A36" s="3"/>
      <c r="B36" s="860" t="s">
        <v>39</v>
      </c>
      <c r="C36" s="32"/>
      <c r="D36" s="132"/>
      <c r="E36" s="32"/>
      <c r="F36" s="32"/>
      <c r="G36" s="209"/>
      <c r="H36" s="313"/>
      <c r="I36" s="301"/>
      <c r="J36" s="301"/>
      <c r="K36" s="229"/>
      <c r="L36" s="301"/>
      <c r="M36" s="229"/>
      <c r="N36" s="326"/>
      <c r="O36" s="301"/>
      <c r="P36" s="326"/>
      <c r="Q36" s="301"/>
      <c r="R36" s="326"/>
      <c r="S36" s="301"/>
      <c r="T36" s="326"/>
      <c r="U36" s="301"/>
      <c r="V36" s="326"/>
      <c r="W36" s="301"/>
      <c r="X36" s="326"/>
      <c r="Y36" s="301"/>
      <c r="Z36" s="326"/>
      <c r="AB36" s="624"/>
      <c r="AC36" s="625"/>
    </row>
    <row r="37" spans="1:29" x14ac:dyDescent="0.2">
      <c r="A37" s="3"/>
      <c r="B37" s="402" t="s">
        <v>40</v>
      </c>
      <c r="C37" s="31"/>
      <c r="D37" s="154">
        <v>1091367</v>
      </c>
      <c r="E37" s="229"/>
      <c r="F37" s="314">
        <v>1197848</v>
      </c>
      <c r="G37" s="301"/>
      <c r="H37" s="315">
        <v>1263425</v>
      </c>
      <c r="I37" s="301"/>
      <c r="J37" s="353">
        <v>1312042</v>
      </c>
      <c r="K37" s="229"/>
      <c r="L37" s="353">
        <v>1359734</v>
      </c>
      <c r="M37" s="229"/>
      <c r="N37" s="314">
        <v>1402628</v>
      </c>
      <c r="O37" s="301"/>
      <c r="P37" s="314">
        <v>1362310</v>
      </c>
      <c r="Q37" s="301"/>
      <c r="R37" s="314">
        <v>1406488</v>
      </c>
      <c r="S37" s="301"/>
      <c r="T37" s="314">
        <v>1428862</v>
      </c>
      <c r="U37" s="301"/>
      <c r="V37" s="314">
        <v>1456296</v>
      </c>
      <c r="W37" s="301"/>
      <c r="X37" s="314">
        <v>1499819</v>
      </c>
      <c r="Y37" s="301"/>
      <c r="Z37" s="314">
        <v>1574811</v>
      </c>
      <c r="AB37" s="636"/>
      <c r="AC37" s="631">
        <f>AVERAGE(X37,V37,T37,R37,Z37)</f>
        <v>1473255.2</v>
      </c>
    </row>
    <row r="38" spans="1:29" x14ac:dyDescent="0.2">
      <c r="A38" s="3"/>
      <c r="B38" s="402" t="s">
        <v>152</v>
      </c>
      <c r="C38" s="31"/>
      <c r="D38" s="154"/>
      <c r="E38" s="229"/>
      <c r="F38" s="314"/>
      <c r="G38" s="301"/>
      <c r="H38" s="315"/>
      <c r="I38" s="301"/>
      <c r="J38" s="353"/>
      <c r="K38" s="229"/>
      <c r="L38" s="353"/>
      <c r="M38" s="229"/>
      <c r="N38" s="314"/>
      <c r="O38" s="301"/>
      <c r="P38" s="314"/>
      <c r="Q38" s="301"/>
      <c r="R38" s="314"/>
      <c r="S38" s="301"/>
      <c r="T38" s="314"/>
      <c r="U38" s="301"/>
      <c r="V38" s="314"/>
      <c r="W38" s="301"/>
      <c r="X38" s="314"/>
      <c r="Y38" s="301"/>
      <c r="Z38" s="314"/>
      <c r="AB38" s="614"/>
      <c r="AC38" s="631"/>
    </row>
    <row r="39" spans="1:29" ht="36" x14ac:dyDescent="0.2">
      <c r="A39" s="3"/>
      <c r="B39" s="403" t="s">
        <v>49</v>
      </c>
      <c r="C39" s="32"/>
      <c r="D39" s="155">
        <v>210137</v>
      </c>
      <c r="E39" s="209"/>
      <c r="F39" s="315">
        <v>95203</v>
      </c>
      <c r="G39" s="284"/>
      <c r="H39" s="315">
        <v>96595</v>
      </c>
      <c r="I39" s="284"/>
      <c r="J39" s="259">
        <v>99286</v>
      </c>
      <c r="K39" s="209"/>
      <c r="L39" s="259">
        <v>42762</v>
      </c>
      <c r="M39" s="209"/>
      <c r="N39" s="315">
        <v>42341</v>
      </c>
      <c r="O39" s="284"/>
      <c r="P39" s="315">
        <v>82986</v>
      </c>
      <c r="Q39" s="284"/>
      <c r="R39" s="315">
        <v>84850</v>
      </c>
      <c r="S39" s="284"/>
      <c r="T39" s="315">
        <v>107933</v>
      </c>
      <c r="U39" s="284"/>
      <c r="V39" s="315">
        <v>150994</v>
      </c>
      <c r="W39" s="284"/>
      <c r="X39" s="315">
        <v>311618</v>
      </c>
      <c r="Y39" s="284"/>
      <c r="Z39" s="315">
        <v>222593</v>
      </c>
      <c r="AB39" s="614"/>
      <c r="AC39" s="631">
        <f t="shared" ref="AC39:AC40" si="4">AVERAGE(X39,V39,T39,R39,Z39)</f>
        <v>175597.6</v>
      </c>
    </row>
    <row r="40" spans="1:29" x14ac:dyDescent="0.2">
      <c r="A40" s="3"/>
      <c r="B40" s="404" t="s">
        <v>41</v>
      </c>
      <c r="C40" s="90"/>
      <c r="D40" s="156">
        <f>SUM(D37:D39)</f>
        <v>1301504</v>
      </c>
      <c r="E40" s="230"/>
      <c r="F40" s="139">
        <f>SUM(F37:F39)</f>
        <v>1293051</v>
      </c>
      <c r="G40" s="307"/>
      <c r="H40" s="336">
        <f>SUM(H37:H39)</f>
        <v>1360020</v>
      </c>
      <c r="I40" s="307"/>
      <c r="J40" s="354">
        <f>SUM(J37:J39)</f>
        <v>1411328</v>
      </c>
      <c r="K40" s="230"/>
      <c r="L40" s="354">
        <f>SUM(L37:L39)</f>
        <v>1402496</v>
      </c>
      <c r="M40" s="230"/>
      <c r="N40" s="336">
        <f>SUM(N37:N39)</f>
        <v>1444969</v>
      </c>
      <c r="O40" s="307"/>
      <c r="P40" s="336">
        <f>SUM(P37:P39)</f>
        <v>1445296</v>
      </c>
      <c r="Q40" s="307"/>
      <c r="R40" s="336">
        <f>SUM(R37:R39)</f>
        <v>1491338</v>
      </c>
      <c r="S40" s="307"/>
      <c r="T40" s="336">
        <f>SUM(T37:T39)</f>
        <v>1536795</v>
      </c>
      <c r="U40" s="307"/>
      <c r="V40" s="336">
        <f>SUM(V37:V39)</f>
        <v>1607290</v>
      </c>
      <c r="W40" s="307"/>
      <c r="X40" s="336">
        <f>SUM(X37:X39)</f>
        <v>1811437</v>
      </c>
      <c r="Y40" s="307"/>
      <c r="Z40" s="336">
        <f>SUM(Z37:Z39)</f>
        <v>1797404</v>
      </c>
      <c r="AB40" s="636"/>
      <c r="AC40" s="680">
        <f t="shared" si="4"/>
        <v>1648852.8</v>
      </c>
    </row>
    <row r="41" spans="1:29" x14ac:dyDescent="0.2">
      <c r="A41" s="3"/>
      <c r="B41" s="401" t="s">
        <v>42</v>
      </c>
      <c r="C41" s="32"/>
      <c r="D41" s="155"/>
      <c r="E41" s="209"/>
      <c r="F41" s="315"/>
      <c r="G41" s="284"/>
      <c r="H41" s="315"/>
      <c r="I41" s="284"/>
      <c r="J41" s="259"/>
      <c r="K41" s="209"/>
      <c r="L41" s="259"/>
      <c r="M41" s="209"/>
      <c r="N41" s="315"/>
      <c r="O41" s="284"/>
      <c r="P41" s="315"/>
      <c r="Q41" s="284"/>
      <c r="R41" s="315"/>
      <c r="S41" s="284"/>
      <c r="T41" s="315"/>
      <c r="U41" s="284"/>
      <c r="V41" s="315"/>
      <c r="W41" s="284"/>
      <c r="X41" s="315"/>
      <c r="Y41" s="284"/>
      <c r="Z41" s="315"/>
      <c r="AB41" s="523"/>
      <c r="AC41" s="631"/>
    </row>
    <row r="42" spans="1:29" x14ac:dyDescent="0.2">
      <c r="A42" s="3"/>
      <c r="B42" s="402" t="s">
        <v>40</v>
      </c>
      <c r="C42" s="32"/>
      <c r="D42" s="155">
        <v>104558</v>
      </c>
      <c r="E42" s="209"/>
      <c r="F42" s="315">
        <v>90838</v>
      </c>
      <c r="G42" s="284"/>
      <c r="H42" s="315">
        <v>90450</v>
      </c>
      <c r="I42" s="284"/>
      <c r="J42" s="259">
        <v>88439</v>
      </c>
      <c r="K42" s="209"/>
      <c r="L42" s="259">
        <v>91830</v>
      </c>
      <c r="M42" s="209"/>
      <c r="N42" s="315">
        <v>94047</v>
      </c>
      <c r="O42" s="284"/>
      <c r="P42" s="315">
        <v>86155</v>
      </c>
      <c r="Q42" s="284"/>
      <c r="R42" s="315">
        <v>87327</v>
      </c>
      <c r="S42" s="284"/>
      <c r="T42" s="315">
        <v>88345</v>
      </c>
      <c r="U42" s="284"/>
      <c r="V42" s="315">
        <v>89141</v>
      </c>
      <c r="W42" s="284"/>
      <c r="X42" s="315">
        <v>81956</v>
      </c>
      <c r="Y42" s="284"/>
      <c r="Z42" s="315">
        <v>87924</v>
      </c>
      <c r="AB42" s="636"/>
      <c r="AC42" s="631">
        <f>AVERAGE(X42,V42,T42,R42,Z42)</f>
        <v>86938.6</v>
      </c>
    </row>
    <row r="43" spans="1:29" x14ac:dyDescent="0.2">
      <c r="A43" s="3"/>
      <c r="B43" s="402" t="s">
        <v>152</v>
      </c>
      <c r="C43" s="32"/>
      <c r="D43" s="155"/>
      <c r="E43" s="209"/>
      <c r="F43" s="315"/>
      <c r="G43" s="284"/>
      <c r="H43" s="315"/>
      <c r="I43" s="284"/>
      <c r="J43" s="259"/>
      <c r="K43" s="209"/>
      <c r="L43" s="259"/>
      <c r="M43" s="209"/>
      <c r="N43" s="315"/>
      <c r="O43" s="284"/>
      <c r="P43" s="315"/>
      <c r="Q43" s="284"/>
      <c r="R43" s="315"/>
      <c r="S43" s="284"/>
      <c r="T43" s="315"/>
      <c r="U43" s="284"/>
      <c r="V43" s="315"/>
      <c r="W43" s="284"/>
      <c r="X43" s="315"/>
      <c r="Y43" s="284"/>
      <c r="Z43" s="315"/>
      <c r="AB43" s="636"/>
      <c r="AC43" s="631"/>
    </row>
    <row r="44" spans="1:29" ht="36" x14ac:dyDescent="0.2">
      <c r="A44" s="3"/>
      <c r="B44" s="403" t="s">
        <v>49</v>
      </c>
      <c r="C44" s="32"/>
      <c r="D44" s="155">
        <v>27602</v>
      </c>
      <c r="E44" s="209"/>
      <c r="F44" s="315">
        <v>29452</v>
      </c>
      <c r="G44" s="284"/>
      <c r="H44" s="315">
        <v>29994</v>
      </c>
      <c r="I44" s="284"/>
      <c r="J44" s="259">
        <v>30742</v>
      </c>
      <c r="K44" s="209"/>
      <c r="L44" s="259">
        <v>31363</v>
      </c>
      <c r="M44" s="209"/>
      <c r="N44" s="315">
        <v>33543</v>
      </c>
      <c r="O44" s="284"/>
      <c r="P44" s="315">
        <v>36763</v>
      </c>
      <c r="Q44" s="284"/>
      <c r="R44" s="315">
        <v>39210</v>
      </c>
      <c r="S44" s="284"/>
      <c r="T44" s="315">
        <v>40205</v>
      </c>
      <c r="U44" s="284"/>
      <c r="V44" s="315"/>
      <c r="W44" s="284"/>
      <c r="X44" s="315">
        <v>10082</v>
      </c>
      <c r="Y44" s="284"/>
      <c r="Z44" s="315">
        <v>10115</v>
      </c>
      <c r="AB44" s="636"/>
      <c r="AC44" s="631">
        <f t="shared" ref="AC44:AC46" si="5">AVERAGE(X44,V44,T44,R44,Z44)</f>
        <v>24903</v>
      </c>
    </row>
    <row r="45" spans="1:29" x14ac:dyDescent="0.2">
      <c r="A45" s="3"/>
      <c r="B45" s="404" t="s">
        <v>43</v>
      </c>
      <c r="C45" s="138"/>
      <c r="D45" s="139">
        <f>SUM(D42:D44)</f>
        <v>132160</v>
      </c>
      <c r="E45" s="90"/>
      <c r="F45" s="156">
        <f>SUM(F42:F44)</f>
        <v>120290</v>
      </c>
      <c r="G45" s="230"/>
      <c r="H45" s="139">
        <f>SUM(H42:H44)</f>
        <v>120444</v>
      </c>
      <c r="I45" s="307"/>
      <c r="J45" s="354">
        <f>SUM(J42:J44)</f>
        <v>119181</v>
      </c>
      <c r="K45" s="230"/>
      <c r="L45" s="354">
        <f>SUM(L42:L44)</f>
        <v>123193</v>
      </c>
      <c r="M45" s="230"/>
      <c r="N45" s="336">
        <f>SUM(N42:N44)</f>
        <v>127590</v>
      </c>
      <c r="O45" s="307"/>
      <c r="P45" s="336">
        <f>SUM(P42:P44)</f>
        <v>122918</v>
      </c>
      <c r="Q45" s="307"/>
      <c r="R45" s="336">
        <f>SUM(R42:R44)</f>
        <v>126537</v>
      </c>
      <c r="S45" s="307"/>
      <c r="T45" s="336">
        <f>SUM(T42:T44)</f>
        <v>128550</v>
      </c>
      <c r="U45" s="307"/>
      <c r="V45" s="336">
        <f>SUM(V42:V44)</f>
        <v>89141</v>
      </c>
      <c r="W45" s="307"/>
      <c r="X45" s="336">
        <f>SUM(X42:X44)</f>
        <v>92038</v>
      </c>
      <c r="Y45" s="307"/>
      <c r="Z45" s="336">
        <f>SUM(Z42:Z44)</f>
        <v>98039</v>
      </c>
      <c r="AB45" s="614"/>
      <c r="AC45" s="680">
        <f t="shared" si="5"/>
        <v>106861</v>
      </c>
    </row>
    <row r="46" spans="1:29" ht="13.5" thickBot="1" x14ac:dyDescent="0.25">
      <c r="A46" s="3"/>
      <c r="B46" s="405" t="s">
        <v>44</v>
      </c>
      <c r="C46" s="131"/>
      <c r="D46" s="139">
        <f>SUM(D40,D45)</f>
        <v>1433664</v>
      </c>
      <c r="E46" s="32"/>
      <c r="F46" s="156">
        <f>SUM(F40,F45)</f>
        <v>1413341</v>
      </c>
      <c r="G46" s="209"/>
      <c r="H46" s="139">
        <f>SUM(H40,H45)</f>
        <v>1480464</v>
      </c>
      <c r="I46" s="284"/>
      <c r="J46" s="354">
        <f>SUM(J40,J45)</f>
        <v>1530509</v>
      </c>
      <c r="K46" s="209"/>
      <c r="L46" s="354">
        <f>SUM(L40,L45)</f>
        <v>1525689</v>
      </c>
      <c r="M46" s="209"/>
      <c r="N46" s="336">
        <f>SUM(N40,N45)</f>
        <v>1572559</v>
      </c>
      <c r="O46" s="284"/>
      <c r="P46" s="336">
        <f>SUM(P40,P45)</f>
        <v>1568214</v>
      </c>
      <c r="Q46" s="284"/>
      <c r="R46" s="336">
        <f>SUM(R40,R45)</f>
        <v>1617875</v>
      </c>
      <c r="S46" s="284"/>
      <c r="T46" s="336">
        <f>SUM(T40,T45)</f>
        <v>1665345</v>
      </c>
      <c r="U46" s="284"/>
      <c r="V46" s="336">
        <f>SUM(V40,V45)</f>
        <v>1696431</v>
      </c>
      <c r="W46" s="284"/>
      <c r="X46" s="336">
        <f>SUM(X40,X45)</f>
        <v>1903475</v>
      </c>
      <c r="Y46" s="284"/>
      <c r="Z46" s="336">
        <f>SUM(Z40,Z45)</f>
        <v>1895443</v>
      </c>
      <c r="AB46" s="628"/>
      <c r="AC46" s="681">
        <f t="shared" si="5"/>
        <v>1755713.8</v>
      </c>
    </row>
    <row r="47" spans="1:29" ht="12" x14ac:dyDescent="0.2">
      <c r="B47" s="406" t="s">
        <v>157</v>
      </c>
      <c r="C47" s="140"/>
      <c r="D47" s="141"/>
      <c r="E47" s="93"/>
      <c r="F47" s="93"/>
      <c r="G47" s="231"/>
      <c r="H47" s="316"/>
      <c r="I47" s="308"/>
      <c r="J47" s="308"/>
      <c r="K47" s="231"/>
      <c r="L47" s="308"/>
      <c r="M47" s="231"/>
      <c r="N47" s="316"/>
      <c r="O47" s="308"/>
      <c r="P47" s="316"/>
      <c r="Q47" s="308"/>
      <c r="R47" s="316"/>
      <c r="S47" s="308"/>
      <c r="T47" s="316"/>
      <c r="U47" s="308"/>
      <c r="V47" s="316"/>
      <c r="W47" s="308"/>
      <c r="X47" s="316"/>
      <c r="Y47" s="308"/>
      <c r="Z47" s="316"/>
      <c r="AB47" s="624"/>
      <c r="AC47" s="862"/>
    </row>
    <row r="48" spans="1:29" ht="12" x14ac:dyDescent="0.2">
      <c r="B48" s="48" t="s">
        <v>15</v>
      </c>
      <c r="C48" s="142"/>
      <c r="D48" s="143">
        <f>1168+302765+859474</f>
        <v>1163407</v>
      </c>
      <c r="E48" s="58"/>
      <c r="F48" s="81">
        <v>1285968</v>
      </c>
      <c r="G48" s="232"/>
      <c r="H48" s="344">
        <v>1388232.52</v>
      </c>
      <c r="I48" s="309"/>
      <c r="J48" s="275">
        <v>1428995.07</v>
      </c>
      <c r="K48" s="232"/>
      <c r="L48" s="275">
        <v>1455373</v>
      </c>
      <c r="M48" s="232"/>
      <c r="N48" s="690">
        <v>1589651</v>
      </c>
      <c r="O48" s="309"/>
      <c r="P48" s="900">
        <v>1518126</v>
      </c>
      <c r="Q48" s="899"/>
      <c r="R48" s="900">
        <v>1498825</v>
      </c>
      <c r="S48" s="899"/>
      <c r="T48" s="900">
        <v>1524508</v>
      </c>
      <c r="U48" s="899"/>
      <c r="V48" s="900">
        <v>1705564</v>
      </c>
      <c r="W48" s="899"/>
      <c r="X48" s="900">
        <v>1567415.62</v>
      </c>
      <c r="Y48" s="899"/>
      <c r="Z48" s="957"/>
      <c r="AB48" s="614"/>
      <c r="AC48" s="861">
        <f>AVERAGE(X48,V48,T48,R48,P48)</f>
        <v>1562887.7239999999</v>
      </c>
    </row>
    <row r="49" spans="1:31" ht="12" x14ac:dyDescent="0.2">
      <c r="B49" s="407" t="s">
        <v>16</v>
      </c>
      <c r="C49" s="144"/>
      <c r="D49" s="145">
        <f>128663+18445+39481</f>
        <v>186589</v>
      </c>
      <c r="E49" s="59"/>
      <c r="F49" s="247">
        <v>134295</v>
      </c>
      <c r="G49" s="233"/>
      <c r="H49" s="375">
        <v>59119</v>
      </c>
      <c r="I49" s="310"/>
      <c r="J49" s="276">
        <v>111005</v>
      </c>
      <c r="K49" s="233"/>
      <c r="L49" s="276">
        <f>6004+96738+10700</f>
        <v>113442</v>
      </c>
      <c r="M49" s="233"/>
      <c r="N49" s="690">
        <f>139277</f>
        <v>139277</v>
      </c>
      <c r="O49" s="310"/>
      <c r="P49" s="930">
        <f>112943+20478</f>
        <v>133421</v>
      </c>
      <c r="Q49" s="901"/>
      <c r="R49" s="930">
        <f>3552.63+100521.3</f>
        <v>104073.93000000001</v>
      </c>
      <c r="S49" s="901"/>
      <c r="T49" s="930">
        <f>91145.15+7853.65+561.75</f>
        <v>99560.549999999988</v>
      </c>
      <c r="U49" s="901"/>
      <c r="V49" s="930">
        <v>167776</v>
      </c>
      <c r="W49" s="901"/>
      <c r="X49" s="930">
        <v>128622.73</v>
      </c>
      <c r="Y49" s="901"/>
      <c r="Z49" s="958"/>
      <c r="AB49" s="636"/>
      <c r="AC49" s="654">
        <f>AVERAGE(X49,V49,T49,R49,P49)</f>
        <v>126690.84199999999</v>
      </c>
    </row>
    <row r="50" spans="1:31" thickBot="1" x14ac:dyDescent="0.25">
      <c r="B50" s="408"/>
      <c r="C50" s="146"/>
      <c r="D50" s="147"/>
      <c r="E50" s="60"/>
      <c r="F50" s="51"/>
      <c r="G50" s="234"/>
      <c r="H50" s="317"/>
      <c r="I50" s="295"/>
      <c r="J50" s="356"/>
      <c r="K50" s="234"/>
      <c r="L50" s="356"/>
      <c r="M50" s="234"/>
      <c r="N50" s="317"/>
      <c r="O50" s="295"/>
      <c r="P50" s="317"/>
      <c r="Q50" s="295"/>
      <c r="R50" s="317"/>
      <c r="S50" s="295"/>
      <c r="T50" s="317"/>
      <c r="U50" s="295"/>
      <c r="V50" s="317"/>
      <c r="W50" s="295"/>
      <c r="X50" s="317"/>
      <c r="Y50" s="295"/>
      <c r="Z50" s="317"/>
      <c r="AB50" s="653"/>
      <c r="AC50" s="655"/>
    </row>
    <row r="51" spans="1:31" ht="12" x14ac:dyDescent="0.2">
      <c r="B51" s="47"/>
      <c r="C51" s="148" t="s">
        <v>74</v>
      </c>
      <c r="D51" s="149" t="s">
        <v>80</v>
      </c>
      <c r="E51" s="73" t="s">
        <v>74</v>
      </c>
      <c r="F51" s="157" t="s">
        <v>80</v>
      </c>
      <c r="G51" s="253" t="s">
        <v>74</v>
      </c>
      <c r="H51" s="318" t="s">
        <v>80</v>
      </c>
      <c r="I51" s="225" t="s">
        <v>74</v>
      </c>
      <c r="J51" s="357" t="s">
        <v>80</v>
      </c>
      <c r="K51" s="253" t="s">
        <v>74</v>
      </c>
      <c r="L51" s="357" t="s">
        <v>80</v>
      </c>
      <c r="M51" s="253" t="s">
        <v>74</v>
      </c>
      <c r="N51" s="318" t="s">
        <v>80</v>
      </c>
      <c r="O51" s="225" t="s">
        <v>74</v>
      </c>
      <c r="P51" s="318" t="s">
        <v>80</v>
      </c>
      <c r="Q51" s="225" t="s">
        <v>74</v>
      </c>
      <c r="R51" s="318" t="s">
        <v>80</v>
      </c>
      <c r="S51" s="225" t="s">
        <v>74</v>
      </c>
      <c r="T51" s="318" t="s">
        <v>80</v>
      </c>
      <c r="U51" s="225" t="s">
        <v>74</v>
      </c>
      <c r="V51" s="318" t="s">
        <v>80</v>
      </c>
      <c r="W51" s="225" t="s">
        <v>74</v>
      </c>
      <c r="X51" s="318" t="s">
        <v>80</v>
      </c>
      <c r="Y51" s="225" t="s">
        <v>74</v>
      </c>
      <c r="Z51" s="318" t="s">
        <v>80</v>
      </c>
      <c r="AB51" s="661" t="s">
        <v>74</v>
      </c>
      <c r="AC51" s="237" t="s">
        <v>80</v>
      </c>
    </row>
    <row r="52" spans="1:31" ht="11.45" customHeight="1" x14ac:dyDescent="0.2">
      <c r="B52" s="54" t="s">
        <v>35</v>
      </c>
      <c r="C52" s="685">
        <v>6</v>
      </c>
      <c r="D52" s="686">
        <v>1571730</v>
      </c>
      <c r="E52" s="687">
        <v>6</v>
      </c>
      <c r="F52" s="688">
        <v>536157</v>
      </c>
      <c r="G52" s="689">
        <v>3</v>
      </c>
      <c r="H52" s="690">
        <v>466984</v>
      </c>
      <c r="I52" s="691">
        <v>0</v>
      </c>
      <c r="J52" s="692">
        <v>0</v>
      </c>
      <c r="K52" s="689">
        <v>2</v>
      </c>
      <c r="L52" s="396">
        <v>7619</v>
      </c>
      <c r="M52" s="689">
        <v>3</v>
      </c>
      <c r="N52" s="394">
        <v>29424</v>
      </c>
      <c r="O52" s="689">
        <v>3</v>
      </c>
      <c r="P52" s="394">
        <v>178404</v>
      </c>
      <c r="Q52" s="689">
        <v>2</v>
      </c>
      <c r="R52" s="394">
        <v>48391</v>
      </c>
      <c r="S52" s="689">
        <v>1</v>
      </c>
      <c r="T52" s="394">
        <v>240905</v>
      </c>
      <c r="U52" s="689">
        <v>0</v>
      </c>
      <c r="V52" s="394">
        <v>0</v>
      </c>
      <c r="W52" s="689">
        <v>1</v>
      </c>
      <c r="X52" s="394">
        <v>5636</v>
      </c>
      <c r="Y52" s="950"/>
      <c r="Z52" s="947"/>
      <c r="AB52" s="656">
        <f t="shared" ref="AB52:AC52" si="6">AVERAGE(W52,U52,S52,Q52,Y52)</f>
        <v>1</v>
      </c>
      <c r="AC52" s="799">
        <f t="shared" si="6"/>
        <v>73733</v>
      </c>
    </row>
    <row r="53" spans="1:31" ht="11.45" customHeight="1" x14ac:dyDescent="0.2">
      <c r="B53" s="54"/>
      <c r="C53" s="693"/>
      <c r="D53" s="694"/>
      <c r="E53" s="247"/>
      <c r="F53" s="695"/>
      <c r="G53" s="696"/>
      <c r="H53" s="697"/>
      <c r="I53" s="276"/>
      <c r="J53" s="698"/>
      <c r="K53" s="696"/>
      <c r="L53" s="397"/>
      <c r="M53" s="696"/>
      <c r="N53" s="395"/>
      <c r="O53" s="696"/>
      <c r="P53" s="395"/>
      <c r="Q53" s="696"/>
      <c r="R53" s="395"/>
      <c r="S53" s="696"/>
      <c r="T53" s="395"/>
      <c r="U53" s="696"/>
      <c r="V53" s="395"/>
      <c r="W53" s="696"/>
      <c r="X53" s="395"/>
      <c r="Y53" s="951"/>
      <c r="Z53" s="952"/>
      <c r="AB53" s="658"/>
      <c r="AC53" s="800"/>
      <c r="AE53" s="1" t="s">
        <v>19</v>
      </c>
    </row>
    <row r="54" spans="1:31" thickBot="1" x14ac:dyDescent="0.25">
      <c r="B54" s="409" t="s">
        <v>17</v>
      </c>
      <c r="C54" s="700">
        <v>3</v>
      </c>
      <c r="D54" s="701">
        <v>111512</v>
      </c>
      <c r="E54" s="702">
        <v>1</v>
      </c>
      <c r="F54" s="703">
        <v>557577</v>
      </c>
      <c r="G54" s="704">
        <v>0</v>
      </c>
      <c r="H54" s="705">
        <v>287835</v>
      </c>
      <c r="I54" s="706">
        <v>0</v>
      </c>
      <c r="J54" s="707">
        <v>0</v>
      </c>
      <c r="K54" s="704">
        <v>1</v>
      </c>
      <c r="L54" s="398">
        <v>6119</v>
      </c>
      <c r="M54" s="704">
        <v>1</v>
      </c>
      <c r="N54" s="399">
        <v>40303</v>
      </c>
      <c r="O54" s="704">
        <v>0</v>
      </c>
      <c r="P54" s="399">
        <v>0</v>
      </c>
      <c r="Q54" s="704">
        <v>2</v>
      </c>
      <c r="R54" s="399">
        <v>74499</v>
      </c>
      <c r="S54" s="704">
        <v>2</v>
      </c>
      <c r="T54" s="399">
        <v>28854</v>
      </c>
      <c r="U54" s="704">
        <v>1</v>
      </c>
      <c r="V54" s="399">
        <v>716847</v>
      </c>
      <c r="W54" s="704">
        <v>0</v>
      </c>
      <c r="X54" s="399">
        <v>0</v>
      </c>
      <c r="Y54" s="953"/>
      <c r="Z54" s="954"/>
      <c r="AB54" s="659">
        <f t="shared" ref="AB54:AC54" si="7">AVERAGE(W54,U54,S54,Q54,Y54)</f>
        <v>1.25</v>
      </c>
      <c r="AC54" s="801">
        <f t="shared" si="7"/>
        <v>205050</v>
      </c>
    </row>
    <row r="55" spans="1:31" ht="12" x14ac:dyDescent="0.2">
      <c r="B55" s="406" t="s">
        <v>50</v>
      </c>
      <c r="C55" s="150"/>
      <c r="D55" s="159"/>
      <c r="E55" s="105"/>
      <c r="F55" s="422"/>
      <c r="G55" s="254"/>
      <c r="H55" s="319"/>
      <c r="I55" s="311"/>
      <c r="J55" s="358"/>
      <c r="K55" s="254"/>
      <c r="L55" s="358"/>
      <c r="M55" s="254"/>
      <c r="N55" s="319"/>
      <c r="O55" s="311"/>
      <c r="P55" s="319"/>
      <c r="Q55" s="311"/>
      <c r="R55" s="319"/>
      <c r="S55" s="311"/>
      <c r="T55" s="319"/>
      <c r="U55" s="311"/>
      <c r="V55" s="319"/>
      <c r="W55" s="311"/>
      <c r="X55" s="319"/>
      <c r="Y55" s="311"/>
      <c r="Z55" s="319"/>
      <c r="AB55" s="523"/>
      <c r="AC55" s="272"/>
    </row>
    <row r="56" spans="1:31" ht="12" x14ac:dyDescent="0.2">
      <c r="B56" s="410" t="s">
        <v>51</v>
      </c>
      <c r="C56" s="151"/>
      <c r="D56" s="160"/>
      <c r="E56" s="71"/>
      <c r="F56" s="34"/>
      <c r="G56" s="255"/>
      <c r="H56" s="320"/>
      <c r="I56" s="224"/>
      <c r="J56" s="200"/>
      <c r="K56" s="255"/>
      <c r="L56" s="200"/>
      <c r="M56" s="255"/>
      <c r="N56" s="320"/>
      <c r="O56" s="224"/>
      <c r="P56" s="320"/>
      <c r="Q56" s="224"/>
      <c r="R56" s="320"/>
      <c r="S56" s="224"/>
      <c r="T56" s="320"/>
      <c r="U56" s="224"/>
      <c r="V56" s="320"/>
      <c r="W56" s="224"/>
      <c r="X56" s="320"/>
      <c r="Y56" s="224"/>
      <c r="Z56" s="320"/>
      <c r="AB56" s="523"/>
      <c r="AC56" s="272"/>
    </row>
    <row r="57" spans="1:31" ht="12" x14ac:dyDescent="0.2">
      <c r="B57" s="835" t="s">
        <v>52</v>
      </c>
      <c r="C57" s="152"/>
      <c r="D57" s="161">
        <v>33181.26</v>
      </c>
      <c r="E57" s="61"/>
      <c r="F57" s="219">
        <v>1404007.49</v>
      </c>
      <c r="G57" s="256"/>
      <c r="H57" s="466">
        <v>218898.34</v>
      </c>
      <c r="I57" s="464"/>
      <c r="J57" s="462">
        <v>331377.13</v>
      </c>
      <c r="K57" s="465"/>
      <c r="L57" s="467">
        <v>1590941.55</v>
      </c>
      <c r="M57" s="465"/>
      <c r="N57" s="798">
        <v>59744</v>
      </c>
      <c r="O57" s="464"/>
      <c r="P57" s="798">
        <v>1619147</v>
      </c>
      <c r="Q57" s="464"/>
      <c r="R57" s="798">
        <v>62258.5</v>
      </c>
      <c r="S57" s="464"/>
      <c r="T57" s="798">
        <v>120946.5</v>
      </c>
      <c r="U57" s="464"/>
      <c r="V57" s="798">
        <v>58160.639999999999</v>
      </c>
      <c r="W57" s="464"/>
      <c r="X57" s="798">
        <v>72601.22</v>
      </c>
      <c r="Y57" s="464"/>
      <c r="Z57" s="955"/>
      <c r="AB57" s="614"/>
      <c r="AC57" s="630">
        <f t="shared" ref="AC57:AC58" si="8">AVERAGE(X57,V57,T57,R57,P57)</f>
        <v>386622.772</v>
      </c>
    </row>
    <row r="58" spans="1:31" thickBot="1" x14ac:dyDescent="0.25">
      <c r="B58" s="421" t="s">
        <v>53</v>
      </c>
      <c r="C58" s="153"/>
      <c r="D58" s="162">
        <v>0</v>
      </c>
      <c r="E58" s="62"/>
      <c r="F58" s="220">
        <v>0</v>
      </c>
      <c r="G58" s="257"/>
      <c r="H58" s="374">
        <v>0</v>
      </c>
      <c r="I58" s="312"/>
      <c r="J58" s="362">
        <v>0</v>
      </c>
      <c r="K58" s="257"/>
      <c r="L58" s="362">
        <v>0</v>
      </c>
      <c r="M58" s="257"/>
      <c r="N58" s="374">
        <v>0</v>
      </c>
      <c r="O58" s="312"/>
      <c r="P58" s="374">
        <v>0</v>
      </c>
      <c r="Q58" s="312"/>
      <c r="R58" s="374">
        <v>0</v>
      </c>
      <c r="S58" s="312"/>
      <c r="T58" s="374">
        <v>0</v>
      </c>
      <c r="U58" s="312"/>
      <c r="V58" s="374">
        <v>0</v>
      </c>
      <c r="W58" s="312"/>
      <c r="X58" s="374">
        <v>0</v>
      </c>
      <c r="Y58" s="312"/>
      <c r="Z58" s="956"/>
      <c r="AB58" s="575"/>
      <c r="AC58" s="635">
        <f t="shared" si="8"/>
        <v>0</v>
      </c>
    </row>
    <row r="59" spans="1:31" thickTop="1" x14ac:dyDescent="0.2">
      <c r="B59" s="70"/>
      <c r="C59" s="71"/>
      <c r="D59" s="72"/>
      <c r="E59" s="71"/>
      <c r="F59" s="73"/>
      <c r="G59" s="224"/>
      <c r="H59" s="225"/>
      <c r="I59" s="224"/>
      <c r="J59" s="225"/>
      <c r="K59" s="224"/>
      <c r="L59" s="225"/>
      <c r="M59" s="224"/>
      <c r="N59" s="225"/>
      <c r="O59" s="224"/>
      <c r="P59" s="225"/>
      <c r="Q59" s="224"/>
      <c r="R59" s="225"/>
      <c r="S59" s="224"/>
      <c r="T59" s="225"/>
      <c r="U59" s="224"/>
      <c r="V59" s="225"/>
      <c r="W59" s="224"/>
      <c r="X59" s="225"/>
      <c r="Y59" s="224"/>
      <c r="Z59" s="225"/>
    </row>
    <row r="60" spans="1:31" x14ac:dyDescent="0.2">
      <c r="A60" s="3" t="s">
        <v>46</v>
      </c>
      <c r="B60" s="70"/>
      <c r="C60" s="71"/>
      <c r="D60" s="72"/>
      <c r="E60" s="71"/>
      <c r="F60" s="73"/>
      <c r="G60" s="224"/>
      <c r="H60" s="225"/>
      <c r="I60" s="224"/>
      <c r="J60" s="225"/>
      <c r="K60" s="224"/>
      <c r="L60" s="225"/>
      <c r="M60" s="224"/>
      <c r="N60" s="225"/>
      <c r="O60" s="224"/>
      <c r="P60" s="225"/>
      <c r="Q60" s="224"/>
      <c r="R60" s="225"/>
      <c r="S60" s="224"/>
      <c r="T60" s="225"/>
      <c r="U60" s="224"/>
      <c r="V60" s="225"/>
      <c r="W60" s="224"/>
      <c r="X60" s="225"/>
      <c r="Y60" s="224"/>
      <c r="Z60" s="225"/>
    </row>
    <row r="61" spans="1:31" thickBot="1" x14ac:dyDescent="0.25">
      <c r="B61" s="70"/>
      <c r="C61" s="71"/>
      <c r="D61" s="72"/>
      <c r="E61" s="71"/>
      <c r="F61" s="73"/>
      <c r="G61" s="224"/>
      <c r="H61" s="225"/>
      <c r="I61" s="224"/>
      <c r="J61" s="225"/>
      <c r="K61" s="224"/>
      <c r="L61" s="225"/>
      <c r="M61" s="224"/>
      <c r="N61" s="225"/>
      <c r="O61" s="224"/>
      <c r="P61" s="225"/>
      <c r="Q61" s="224"/>
      <c r="R61" s="225"/>
      <c r="S61" s="224"/>
      <c r="T61" s="225"/>
      <c r="U61" s="224"/>
      <c r="V61" s="225"/>
      <c r="W61" s="224"/>
      <c r="X61" s="225"/>
      <c r="Y61" s="224"/>
      <c r="Z61" s="225"/>
    </row>
    <row r="62" spans="1:31" ht="14.25" thickTop="1" thickBot="1" x14ac:dyDescent="0.25">
      <c r="B62" s="415"/>
      <c r="C62" s="1292" t="s">
        <v>27</v>
      </c>
      <c r="D62" s="1293"/>
      <c r="E62" s="1294" t="s">
        <v>28</v>
      </c>
      <c r="F62" s="1294"/>
      <c r="G62" s="1286" t="s">
        <v>83</v>
      </c>
      <c r="H62" s="1253"/>
      <c r="I62" s="1250" t="s">
        <v>93</v>
      </c>
      <c r="J62" s="1250"/>
      <c r="K62" s="1267" t="s">
        <v>94</v>
      </c>
      <c r="L62" s="1250"/>
      <c r="M62" s="1267" t="s">
        <v>100</v>
      </c>
      <c r="N62" s="1251"/>
      <c r="O62" s="1250" t="s">
        <v>143</v>
      </c>
      <c r="P62" s="1251"/>
      <c r="Q62" s="1250" t="s">
        <v>149</v>
      </c>
      <c r="R62" s="1251"/>
      <c r="S62" s="1250" t="s">
        <v>167</v>
      </c>
      <c r="T62" s="1251"/>
      <c r="U62" s="1250" t="s">
        <v>181</v>
      </c>
      <c r="V62" s="1251"/>
      <c r="W62" s="1250" t="s">
        <v>194</v>
      </c>
      <c r="X62" s="1251"/>
      <c r="Y62" s="1250" t="s">
        <v>203</v>
      </c>
      <c r="Z62" s="1251"/>
      <c r="AB62" s="1259" t="s">
        <v>133</v>
      </c>
      <c r="AC62" s="1260"/>
    </row>
    <row r="63" spans="1:31" ht="12" x14ac:dyDescent="0.2">
      <c r="B63" s="44" t="s">
        <v>31</v>
      </c>
      <c r="C63" s="129"/>
      <c r="D63" s="130"/>
      <c r="E63" s="31"/>
      <c r="F63" s="31"/>
      <c r="G63" s="229"/>
      <c r="H63" s="326"/>
      <c r="I63" s="301"/>
      <c r="J63" s="301"/>
      <c r="K63" s="229"/>
      <c r="L63" s="301"/>
      <c r="M63" s="229"/>
      <c r="N63" s="326"/>
      <c r="O63" s="301"/>
      <c r="P63" s="326"/>
      <c r="Q63" s="301"/>
      <c r="R63" s="326"/>
      <c r="S63" s="301"/>
      <c r="T63" s="326"/>
      <c r="U63" s="301"/>
      <c r="V63" s="326"/>
      <c r="W63" s="301"/>
      <c r="X63" s="326"/>
      <c r="Y63" s="301"/>
      <c r="Z63" s="326"/>
      <c r="AB63" s="523"/>
      <c r="AC63" s="272"/>
    </row>
    <row r="64" spans="1:31" ht="12" x14ac:dyDescent="0.2">
      <c r="B64" s="416" t="s">
        <v>32</v>
      </c>
      <c r="C64" s="131"/>
      <c r="D64" s="164"/>
      <c r="E64" s="32"/>
      <c r="F64" s="52"/>
      <c r="G64" s="209"/>
      <c r="H64" s="305"/>
      <c r="I64" s="284"/>
      <c r="J64" s="101"/>
      <c r="K64" s="209"/>
      <c r="L64" s="101"/>
      <c r="M64" s="209"/>
      <c r="N64" s="305"/>
      <c r="O64" s="284"/>
      <c r="P64" s="305"/>
      <c r="Q64" s="284"/>
      <c r="R64" s="305"/>
      <c r="S64" s="284"/>
      <c r="T64" s="305"/>
      <c r="U64" s="284"/>
      <c r="V64" s="305"/>
      <c r="W64" s="284"/>
      <c r="X64" s="305"/>
      <c r="Y64" s="284"/>
      <c r="Z64" s="305"/>
      <c r="AB64" s="523"/>
      <c r="AC64" s="272"/>
    </row>
    <row r="65" spans="2:30" ht="12" x14ac:dyDescent="0.2">
      <c r="B65" s="45" t="s">
        <v>33</v>
      </c>
      <c r="C65" s="131"/>
      <c r="D65" s="164">
        <v>11</v>
      </c>
      <c r="E65" s="32"/>
      <c r="F65" s="52">
        <v>11</v>
      </c>
      <c r="G65" s="242"/>
      <c r="H65" s="305">
        <v>10</v>
      </c>
      <c r="I65" s="284"/>
      <c r="J65" s="101">
        <v>13</v>
      </c>
      <c r="K65" s="209"/>
      <c r="L65" s="101">
        <v>12</v>
      </c>
      <c r="M65" s="209"/>
      <c r="N65" s="305">
        <v>14</v>
      </c>
      <c r="O65" s="284"/>
      <c r="P65" s="305">
        <v>13</v>
      </c>
      <c r="Q65" s="284"/>
      <c r="R65" s="305">
        <v>12</v>
      </c>
      <c r="S65" s="284"/>
      <c r="T65" s="305">
        <v>11</v>
      </c>
      <c r="U65" s="284"/>
      <c r="V65" s="305">
        <v>13</v>
      </c>
      <c r="W65" s="284"/>
      <c r="X65" s="305">
        <v>12</v>
      </c>
      <c r="Y65" s="284"/>
      <c r="Z65" s="305">
        <v>12</v>
      </c>
      <c r="AB65" s="636"/>
      <c r="AC65" s="626">
        <f t="shared" ref="AC65:AC66" si="9">AVERAGE(X65,V65,T65,R65,Z65)</f>
        <v>12</v>
      </c>
    </row>
    <row r="66" spans="2:30" ht="12" x14ac:dyDescent="0.2">
      <c r="B66" s="45" t="s">
        <v>103</v>
      </c>
      <c r="C66" s="131"/>
      <c r="D66" s="164">
        <v>3</v>
      </c>
      <c r="E66" s="32"/>
      <c r="F66" s="52">
        <v>5</v>
      </c>
      <c r="G66" s="242"/>
      <c r="H66" s="305">
        <v>6</v>
      </c>
      <c r="I66" s="284"/>
      <c r="J66" s="101">
        <v>3</v>
      </c>
      <c r="K66" s="209"/>
      <c r="L66" s="101">
        <v>0</v>
      </c>
      <c r="M66" s="209"/>
      <c r="N66" s="305">
        <v>1</v>
      </c>
      <c r="O66" s="284"/>
      <c r="P66" s="305">
        <v>2</v>
      </c>
      <c r="Q66" s="284"/>
      <c r="R66" s="305">
        <v>3</v>
      </c>
      <c r="S66" s="284"/>
      <c r="T66" s="305">
        <v>6</v>
      </c>
      <c r="U66" s="284"/>
      <c r="V66" s="305">
        <v>2</v>
      </c>
      <c r="W66" s="284"/>
      <c r="X66" s="305">
        <v>4</v>
      </c>
      <c r="Y66" s="284"/>
      <c r="Z66" s="305">
        <v>2</v>
      </c>
      <c r="AB66" s="636"/>
      <c r="AC66" s="626">
        <f t="shared" si="9"/>
        <v>3.4</v>
      </c>
    </row>
    <row r="67" spans="2:30" ht="12" x14ac:dyDescent="0.2">
      <c r="B67" s="416" t="s">
        <v>34</v>
      </c>
      <c r="C67" s="131"/>
      <c r="D67" s="133"/>
      <c r="E67" s="32"/>
      <c r="F67" s="33"/>
      <c r="G67" s="209"/>
      <c r="H67" s="212" t="s">
        <v>19</v>
      </c>
      <c r="I67" s="284"/>
      <c r="J67" s="211"/>
      <c r="K67" s="209"/>
      <c r="L67" s="211"/>
      <c r="M67" s="209"/>
      <c r="N67" s="212"/>
      <c r="O67" s="284"/>
      <c r="P67" s="212"/>
      <c r="Q67" s="284"/>
      <c r="R67" s="212"/>
      <c r="S67" s="284"/>
      <c r="T67" s="212"/>
      <c r="U67" s="284"/>
      <c r="V67" s="212"/>
      <c r="W67" s="284"/>
      <c r="X67" s="212"/>
      <c r="Y67" s="284"/>
      <c r="Z67" s="212"/>
      <c r="AB67" s="622"/>
      <c r="AC67" s="613"/>
    </row>
    <row r="68" spans="2:30" ht="12" x14ac:dyDescent="0.2">
      <c r="B68" s="45" t="s">
        <v>33</v>
      </c>
      <c r="C68" s="131"/>
      <c r="D68" s="133">
        <v>1</v>
      </c>
      <c r="E68" s="32"/>
      <c r="F68" s="33">
        <v>1</v>
      </c>
      <c r="G68" s="242"/>
      <c r="H68" s="212">
        <v>1</v>
      </c>
      <c r="I68" s="284"/>
      <c r="J68" s="211">
        <v>0</v>
      </c>
      <c r="K68" s="209"/>
      <c r="L68" s="211">
        <v>1</v>
      </c>
      <c r="M68" s="209"/>
      <c r="N68" s="212">
        <v>0</v>
      </c>
      <c r="O68" s="284"/>
      <c r="P68" s="212">
        <v>0</v>
      </c>
      <c r="Q68" s="284"/>
      <c r="R68" s="212">
        <v>0</v>
      </c>
      <c r="S68" s="284"/>
      <c r="T68" s="212">
        <v>0</v>
      </c>
      <c r="U68" s="284"/>
      <c r="V68" s="212">
        <v>0</v>
      </c>
      <c r="W68" s="284"/>
      <c r="X68" s="212">
        <v>0</v>
      </c>
      <c r="Y68" s="284"/>
      <c r="Z68" s="212">
        <v>0</v>
      </c>
      <c r="AB68" s="636"/>
      <c r="AC68" s="914">
        <f t="shared" ref="AC68:AC70" si="10">AVERAGE(X68,V68,T68,R68,Z68)</f>
        <v>0</v>
      </c>
    </row>
    <row r="69" spans="2:30" ht="12" x14ac:dyDescent="0.2">
      <c r="B69" s="417" t="s">
        <v>103</v>
      </c>
      <c r="C69" s="131"/>
      <c r="D69" s="133">
        <v>1</v>
      </c>
      <c r="E69" s="32"/>
      <c r="F69" s="33">
        <v>1</v>
      </c>
      <c r="G69" s="242"/>
      <c r="H69" s="212">
        <v>1</v>
      </c>
      <c r="I69" s="284"/>
      <c r="J69" s="211">
        <v>1</v>
      </c>
      <c r="K69" s="209"/>
      <c r="L69" s="211">
        <v>0</v>
      </c>
      <c r="M69" s="209"/>
      <c r="N69" s="212">
        <v>1</v>
      </c>
      <c r="O69" s="284"/>
      <c r="P69" s="212">
        <v>1</v>
      </c>
      <c r="Q69" s="284"/>
      <c r="R69" s="212">
        <v>1</v>
      </c>
      <c r="S69" s="284"/>
      <c r="T69" s="212">
        <v>1</v>
      </c>
      <c r="U69" s="284"/>
      <c r="V69" s="212">
        <v>0</v>
      </c>
      <c r="W69" s="284"/>
      <c r="X69" s="212">
        <v>0</v>
      </c>
      <c r="Y69" s="284"/>
      <c r="Z69" s="212">
        <v>0</v>
      </c>
      <c r="AB69" s="636"/>
      <c r="AC69" s="626">
        <f t="shared" si="10"/>
        <v>0.4</v>
      </c>
    </row>
    <row r="70" spans="2:30" thickBot="1" x14ac:dyDescent="0.25">
      <c r="B70" s="949" t="s">
        <v>14</v>
      </c>
      <c r="C70" s="188"/>
      <c r="D70" s="189">
        <f>SUM(D65:D69)</f>
        <v>16</v>
      </c>
      <c r="E70" s="115"/>
      <c r="F70" s="55">
        <f>SUM(F65:F69)</f>
        <v>18</v>
      </c>
      <c r="G70" s="258"/>
      <c r="H70" s="327">
        <v>18</v>
      </c>
      <c r="I70" s="321"/>
      <c r="J70" s="361">
        <f>SUM(J65:J69)</f>
        <v>17</v>
      </c>
      <c r="K70" s="289"/>
      <c r="L70" s="361">
        <f>SUM(L65:L69)</f>
        <v>13</v>
      </c>
      <c r="M70" s="289"/>
      <c r="N70" s="327">
        <f>SUM(N65:N69)</f>
        <v>16</v>
      </c>
      <c r="O70" s="321"/>
      <c r="P70" s="327">
        <f>SUM(P65:P69)</f>
        <v>16</v>
      </c>
      <c r="Q70" s="321"/>
      <c r="R70" s="327">
        <f>SUM(R65:R69)</f>
        <v>16</v>
      </c>
      <c r="S70" s="321"/>
      <c r="T70" s="327">
        <f>SUM(T65:T69)</f>
        <v>18</v>
      </c>
      <c r="U70" s="321"/>
      <c r="V70" s="327">
        <f>SUM(V65:V69)</f>
        <v>15</v>
      </c>
      <c r="W70" s="321"/>
      <c r="X70" s="327">
        <f>SUM(X65:X69)</f>
        <v>16</v>
      </c>
      <c r="Y70" s="321"/>
      <c r="Z70" s="327">
        <f>SUM(Z65:Z69)</f>
        <v>14</v>
      </c>
      <c r="AB70" s="615"/>
      <c r="AC70" s="616">
        <f t="shared" si="10"/>
        <v>15.8</v>
      </c>
    </row>
    <row r="71" spans="2:30" thickTop="1" x14ac:dyDescent="0.2">
      <c r="B71" s="418" t="s">
        <v>76</v>
      </c>
      <c r="C71" s="166"/>
      <c r="D71" s="167"/>
      <c r="E71" s="123"/>
      <c r="F71" s="163"/>
      <c r="G71" s="248" t="s">
        <v>74</v>
      </c>
      <c r="H71" s="328" t="s">
        <v>75</v>
      </c>
      <c r="I71" s="248" t="s">
        <v>74</v>
      </c>
      <c r="J71" s="328" t="s">
        <v>75</v>
      </c>
      <c r="K71" s="248" t="s">
        <v>74</v>
      </c>
      <c r="L71" s="328" t="s">
        <v>75</v>
      </c>
      <c r="M71" s="248" t="s">
        <v>74</v>
      </c>
      <c r="N71" s="328" t="s">
        <v>75</v>
      </c>
      <c r="O71" s="248" t="s">
        <v>74</v>
      </c>
      <c r="P71" s="328" t="s">
        <v>75</v>
      </c>
      <c r="Q71" s="248" t="s">
        <v>74</v>
      </c>
      <c r="R71" s="328" t="s">
        <v>75</v>
      </c>
      <c r="S71" s="248" t="s">
        <v>74</v>
      </c>
      <c r="T71" s="328" t="s">
        <v>75</v>
      </c>
      <c r="U71" s="248" t="s">
        <v>74</v>
      </c>
      <c r="V71" s="328" t="s">
        <v>75</v>
      </c>
      <c r="W71" s="248" t="s">
        <v>74</v>
      </c>
      <c r="X71" s="328" t="s">
        <v>75</v>
      </c>
      <c r="Y71" s="248" t="s">
        <v>74</v>
      </c>
      <c r="Z71" s="328" t="s">
        <v>75</v>
      </c>
      <c r="AB71" s="617" t="s">
        <v>74</v>
      </c>
      <c r="AC71" s="612" t="s">
        <v>75</v>
      </c>
    </row>
    <row r="72" spans="2:30" ht="12" x14ac:dyDescent="0.2">
      <c r="B72" s="45" t="s">
        <v>57</v>
      </c>
      <c r="C72" s="168">
        <v>13</v>
      </c>
      <c r="D72" s="169">
        <f>C72/D$70</f>
        <v>0.8125</v>
      </c>
      <c r="E72" s="124">
        <v>15</v>
      </c>
      <c r="F72" s="176">
        <f t="shared" ref="F72:H79" si="11">E72/F$70</f>
        <v>0.83333333333333337</v>
      </c>
      <c r="G72" s="168">
        <v>17</v>
      </c>
      <c r="H72" s="329">
        <f t="shared" si="11"/>
        <v>0.94444444444444442</v>
      </c>
      <c r="I72" s="124">
        <v>15</v>
      </c>
      <c r="J72" s="176">
        <f t="shared" ref="J72:L79" si="12">I72/J$70</f>
        <v>0.88235294117647056</v>
      </c>
      <c r="K72" s="168">
        <v>12</v>
      </c>
      <c r="L72" s="176">
        <f t="shared" si="12"/>
        <v>0.92307692307692313</v>
      </c>
      <c r="M72" s="168">
        <v>15</v>
      </c>
      <c r="N72" s="329">
        <f t="shared" ref="N72:P79" si="13">M72/N$70</f>
        <v>0.9375</v>
      </c>
      <c r="O72" s="124">
        <v>16</v>
      </c>
      <c r="P72" s="329">
        <f t="shared" si="13"/>
        <v>1</v>
      </c>
      <c r="Q72" s="124">
        <v>16</v>
      </c>
      <c r="R72" s="329">
        <f t="shared" ref="R72:T79" si="14">Q72/R$70</f>
        <v>1</v>
      </c>
      <c r="S72" s="124">
        <f>7+9</f>
        <v>16</v>
      </c>
      <c r="T72" s="329">
        <f t="shared" si="14"/>
        <v>0.88888888888888884</v>
      </c>
      <c r="U72" s="124">
        <v>12</v>
      </c>
      <c r="V72" s="329">
        <f t="shared" ref="V72:V79" si="15">U72/V$70</f>
        <v>0.8</v>
      </c>
      <c r="W72" s="124">
        <f>3+9</f>
        <v>12</v>
      </c>
      <c r="X72" s="329">
        <f t="shared" ref="X72:X79" si="16">W72/X$70</f>
        <v>0.75</v>
      </c>
      <c r="Y72" s="124">
        <v>11</v>
      </c>
      <c r="Z72" s="329">
        <f t="shared" ref="Z72:Z79" si="17">Y72/Z$70</f>
        <v>0.7857142857142857</v>
      </c>
      <c r="AB72" s="662">
        <f t="shared" ref="AB72:AB79" si="18">AVERAGE(W72,U72,S72,Q72,Y72)</f>
        <v>13.4</v>
      </c>
      <c r="AC72" s="665">
        <f t="shared" ref="AC72:AC79" si="19">AVERAGE(X72,V72,T72,R72,Z72)</f>
        <v>0.84492063492063496</v>
      </c>
    </row>
    <row r="73" spans="2:30" ht="12" x14ac:dyDescent="0.2">
      <c r="B73" s="94" t="s">
        <v>58</v>
      </c>
      <c r="C73" s="168">
        <v>1</v>
      </c>
      <c r="D73" s="169">
        <f t="shared" ref="D73:D91" si="20">C73/$D$70</f>
        <v>6.25E-2</v>
      </c>
      <c r="E73" s="124">
        <v>1</v>
      </c>
      <c r="F73" s="176">
        <f t="shared" si="11"/>
        <v>5.5555555555555552E-2</v>
      </c>
      <c r="G73" s="168">
        <v>0</v>
      </c>
      <c r="H73" s="329">
        <f t="shared" si="11"/>
        <v>0</v>
      </c>
      <c r="I73" s="124">
        <v>0</v>
      </c>
      <c r="J73" s="176">
        <f t="shared" si="12"/>
        <v>0</v>
      </c>
      <c r="K73" s="168">
        <v>0</v>
      </c>
      <c r="L73" s="176">
        <f t="shared" si="12"/>
        <v>0</v>
      </c>
      <c r="M73" s="168">
        <v>0</v>
      </c>
      <c r="N73" s="329">
        <f t="shared" si="13"/>
        <v>0</v>
      </c>
      <c r="O73" s="124">
        <v>0</v>
      </c>
      <c r="P73" s="329">
        <f t="shared" si="13"/>
        <v>0</v>
      </c>
      <c r="Q73" s="124">
        <v>0</v>
      </c>
      <c r="R73" s="329">
        <f t="shared" si="14"/>
        <v>0</v>
      </c>
      <c r="S73" s="124">
        <f>0</f>
        <v>0</v>
      </c>
      <c r="T73" s="329">
        <f t="shared" si="14"/>
        <v>0</v>
      </c>
      <c r="U73" s="124">
        <v>0</v>
      </c>
      <c r="V73" s="329">
        <f t="shared" si="15"/>
        <v>0</v>
      </c>
      <c r="W73" s="124">
        <v>0</v>
      </c>
      <c r="X73" s="329">
        <f t="shared" si="16"/>
        <v>0</v>
      </c>
      <c r="Y73" s="124">
        <v>0</v>
      </c>
      <c r="Z73" s="329">
        <f t="shared" si="17"/>
        <v>0</v>
      </c>
      <c r="AB73" s="662">
        <f t="shared" si="18"/>
        <v>0</v>
      </c>
      <c r="AC73" s="665">
        <f t="shared" si="19"/>
        <v>0</v>
      </c>
    </row>
    <row r="74" spans="2:30" ht="12" x14ac:dyDescent="0.2">
      <c r="B74" s="94" t="s">
        <v>59</v>
      </c>
      <c r="C74" s="168">
        <v>1</v>
      </c>
      <c r="D74" s="169">
        <f t="shared" si="20"/>
        <v>6.25E-2</v>
      </c>
      <c r="E74" s="124">
        <v>1</v>
      </c>
      <c r="F74" s="176">
        <f t="shared" si="11"/>
        <v>5.5555555555555552E-2</v>
      </c>
      <c r="G74" s="168">
        <v>1</v>
      </c>
      <c r="H74" s="329">
        <f t="shared" si="11"/>
        <v>5.5555555555555552E-2</v>
      </c>
      <c r="I74" s="124">
        <v>0</v>
      </c>
      <c r="J74" s="176">
        <f t="shared" si="12"/>
        <v>0</v>
      </c>
      <c r="K74" s="168">
        <v>0</v>
      </c>
      <c r="L74" s="176">
        <f t="shared" si="12"/>
        <v>0</v>
      </c>
      <c r="M74" s="168">
        <v>0</v>
      </c>
      <c r="N74" s="329">
        <f t="shared" si="13"/>
        <v>0</v>
      </c>
      <c r="O74" s="124">
        <v>0</v>
      </c>
      <c r="P74" s="329">
        <f t="shared" si="13"/>
        <v>0</v>
      </c>
      <c r="Q74" s="124">
        <v>0</v>
      </c>
      <c r="R74" s="329">
        <f t="shared" si="14"/>
        <v>0</v>
      </c>
      <c r="S74" s="124">
        <f>0</f>
        <v>0</v>
      </c>
      <c r="T74" s="329">
        <f t="shared" si="14"/>
        <v>0</v>
      </c>
      <c r="U74" s="124">
        <v>0</v>
      </c>
      <c r="V74" s="329">
        <f t="shared" si="15"/>
        <v>0</v>
      </c>
      <c r="W74" s="124">
        <v>1</v>
      </c>
      <c r="X74" s="329">
        <f t="shared" si="16"/>
        <v>6.25E-2</v>
      </c>
      <c r="Y74" s="124">
        <v>0</v>
      </c>
      <c r="Z74" s="329">
        <f t="shared" si="17"/>
        <v>0</v>
      </c>
      <c r="AB74" s="662">
        <f t="shared" si="18"/>
        <v>0.2</v>
      </c>
      <c r="AC74" s="665">
        <f t="shared" si="19"/>
        <v>1.2500000000000001E-2</v>
      </c>
    </row>
    <row r="75" spans="2:30" ht="12" x14ac:dyDescent="0.2">
      <c r="B75" s="94" t="s">
        <v>60</v>
      </c>
      <c r="C75" s="168">
        <v>0</v>
      </c>
      <c r="D75" s="169">
        <f t="shared" si="20"/>
        <v>0</v>
      </c>
      <c r="E75" s="124">
        <v>0</v>
      </c>
      <c r="F75" s="176">
        <f t="shared" si="11"/>
        <v>0</v>
      </c>
      <c r="G75" s="168">
        <v>0</v>
      </c>
      <c r="H75" s="329">
        <f t="shared" si="11"/>
        <v>0</v>
      </c>
      <c r="I75" s="124">
        <v>0</v>
      </c>
      <c r="J75" s="176">
        <f t="shared" si="12"/>
        <v>0</v>
      </c>
      <c r="K75" s="168">
        <v>0</v>
      </c>
      <c r="L75" s="176">
        <f t="shared" si="12"/>
        <v>0</v>
      </c>
      <c r="M75" s="168">
        <v>0</v>
      </c>
      <c r="N75" s="329">
        <f t="shared" si="13"/>
        <v>0</v>
      </c>
      <c r="O75" s="124">
        <v>0</v>
      </c>
      <c r="P75" s="329">
        <f t="shared" si="13"/>
        <v>0</v>
      </c>
      <c r="Q75" s="124">
        <v>0</v>
      </c>
      <c r="R75" s="329">
        <f t="shared" si="14"/>
        <v>0</v>
      </c>
      <c r="S75" s="124">
        <f>0</f>
        <v>0</v>
      </c>
      <c r="T75" s="329">
        <f t="shared" si="14"/>
        <v>0</v>
      </c>
      <c r="U75" s="124">
        <v>0</v>
      </c>
      <c r="V75" s="329">
        <f t="shared" si="15"/>
        <v>0</v>
      </c>
      <c r="W75" s="124">
        <v>0</v>
      </c>
      <c r="X75" s="329">
        <f t="shared" si="16"/>
        <v>0</v>
      </c>
      <c r="Y75" s="124">
        <v>0</v>
      </c>
      <c r="Z75" s="329">
        <f t="shared" si="17"/>
        <v>0</v>
      </c>
      <c r="AB75" s="662">
        <f t="shared" si="18"/>
        <v>0</v>
      </c>
      <c r="AC75" s="665">
        <f t="shared" si="19"/>
        <v>0</v>
      </c>
    </row>
    <row r="76" spans="2:30" ht="12" x14ac:dyDescent="0.2">
      <c r="B76" s="94" t="s">
        <v>61</v>
      </c>
      <c r="C76" s="168">
        <v>0</v>
      </c>
      <c r="D76" s="169">
        <f t="shared" si="20"/>
        <v>0</v>
      </c>
      <c r="E76" s="124">
        <v>0</v>
      </c>
      <c r="F76" s="176">
        <f t="shared" si="11"/>
        <v>0</v>
      </c>
      <c r="G76" s="168">
        <v>0</v>
      </c>
      <c r="H76" s="329">
        <f t="shared" si="11"/>
        <v>0</v>
      </c>
      <c r="I76" s="124">
        <v>1</v>
      </c>
      <c r="J76" s="176">
        <f t="shared" si="12"/>
        <v>5.8823529411764705E-2</v>
      </c>
      <c r="K76" s="168">
        <v>1</v>
      </c>
      <c r="L76" s="176">
        <f t="shared" si="12"/>
        <v>7.6923076923076927E-2</v>
      </c>
      <c r="M76" s="168">
        <v>1</v>
      </c>
      <c r="N76" s="329">
        <f t="shared" si="13"/>
        <v>6.25E-2</v>
      </c>
      <c r="O76" s="124">
        <v>0</v>
      </c>
      <c r="P76" s="329">
        <f t="shared" si="13"/>
        <v>0</v>
      </c>
      <c r="Q76" s="124">
        <v>0</v>
      </c>
      <c r="R76" s="329">
        <f t="shared" si="14"/>
        <v>0</v>
      </c>
      <c r="S76" s="124">
        <f>1</f>
        <v>1</v>
      </c>
      <c r="T76" s="329">
        <f t="shared" si="14"/>
        <v>5.5555555555555552E-2</v>
      </c>
      <c r="U76" s="124">
        <v>1</v>
      </c>
      <c r="V76" s="329">
        <f t="shared" si="15"/>
        <v>6.6666666666666666E-2</v>
      </c>
      <c r="W76" s="124">
        <v>1</v>
      </c>
      <c r="X76" s="329">
        <f t="shared" si="16"/>
        <v>6.25E-2</v>
      </c>
      <c r="Y76" s="124">
        <v>1</v>
      </c>
      <c r="Z76" s="329">
        <f t="shared" si="17"/>
        <v>7.1428571428571425E-2</v>
      </c>
      <c r="AB76" s="662">
        <f t="shared" si="18"/>
        <v>0.8</v>
      </c>
      <c r="AC76" s="665">
        <f t="shared" si="19"/>
        <v>5.1230158730158723E-2</v>
      </c>
      <c r="AD76" s="1" t="s">
        <v>19</v>
      </c>
    </row>
    <row r="77" spans="2:30" ht="12" x14ac:dyDescent="0.2">
      <c r="B77" s="94" t="s">
        <v>62</v>
      </c>
      <c r="C77" s="168">
        <v>1</v>
      </c>
      <c r="D77" s="169">
        <f t="shared" si="20"/>
        <v>6.25E-2</v>
      </c>
      <c r="E77" s="124">
        <v>1</v>
      </c>
      <c r="F77" s="176">
        <f t="shared" si="11"/>
        <v>5.5555555555555552E-2</v>
      </c>
      <c r="G77" s="168">
        <v>0</v>
      </c>
      <c r="H77" s="329">
        <f t="shared" si="11"/>
        <v>0</v>
      </c>
      <c r="I77" s="124">
        <v>1</v>
      </c>
      <c r="J77" s="176">
        <f t="shared" si="12"/>
        <v>5.8823529411764705E-2</v>
      </c>
      <c r="K77" s="168">
        <v>0</v>
      </c>
      <c r="L77" s="176">
        <f t="shared" si="12"/>
        <v>0</v>
      </c>
      <c r="M77" s="168">
        <v>0</v>
      </c>
      <c r="N77" s="329">
        <f t="shared" si="13"/>
        <v>0</v>
      </c>
      <c r="O77" s="124">
        <v>0</v>
      </c>
      <c r="P77" s="329">
        <f t="shared" si="13"/>
        <v>0</v>
      </c>
      <c r="Q77" s="124">
        <v>0</v>
      </c>
      <c r="R77" s="329">
        <f t="shared" si="14"/>
        <v>0</v>
      </c>
      <c r="S77" s="124">
        <f>1</f>
        <v>1</v>
      </c>
      <c r="T77" s="329">
        <f t="shared" si="14"/>
        <v>5.5555555555555552E-2</v>
      </c>
      <c r="U77" s="124">
        <v>2</v>
      </c>
      <c r="V77" s="329">
        <f t="shared" si="15"/>
        <v>0.13333333333333333</v>
      </c>
      <c r="W77" s="124">
        <v>2</v>
      </c>
      <c r="X77" s="329">
        <f t="shared" si="16"/>
        <v>0.125</v>
      </c>
      <c r="Y77" s="124">
        <v>2</v>
      </c>
      <c r="Z77" s="329">
        <f t="shared" si="17"/>
        <v>0.14285714285714285</v>
      </c>
      <c r="AB77" s="662">
        <f t="shared" si="18"/>
        <v>1.4</v>
      </c>
      <c r="AC77" s="665">
        <f t="shared" si="19"/>
        <v>9.1349206349206347E-2</v>
      </c>
    </row>
    <row r="78" spans="2:30" ht="12" x14ac:dyDescent="0.2">
      <c r="B78" s="94" t="s">
        <v>155</v>
      </c>
      <c r="C78" s="170"/>
      <c r="D78" s="169"/>
      <c r="E78" s="125"/>
      <c r="F78" s="176"/>
      <c r="G78" s="910"/>
      <c r="H78" s="911"/>
      <c r="I78" s="912"/>
      <c r="J78" s="913"/>
      <c r="K78" s="910"/>
      <c r="L78" s="913"/>
      <c r="M78" s="910"/>
      <c r="N78" s="911"/>
      <c r="O78" s="912"/>
      <c r="P78" s="911"/>
      <c r="Q78" s="125">
        <v>0</v>
      </c>
      <c r="R78" s="329">
        <f t="shared" si="14"/>
        <v>0</v>
      </c>
      <c r="S78" s="125">
        <f>0</f>
        <v>0</v>
      </c>
      <c r="T78" s="329">
        <f t="shared" si="14"/>
        <v>0</v>
      </c>
      <c r="U78" s="125">
        <v>0</v>
      </c>
      <c r="V78" s="329">
        <f t="shared" si="15"/>
        <v>0</v>
      </c>
      <c r="W78" s="125">
        <v>0</v>
      </c>
      <c r="X78" s="329">
        <f t="shared" si="16"/>
        <v>0</v>
      </c>
      <c r="Y78" s="125">
        <v>0</v>
      </c>
      <c r="Z78" s="329">
        <f t="shared" si="17"/>
        <v>0</v>
      </c>
      <c r="AB78" s="662">
        <f t="shared" si="18"/>
        <v>0</v>
      </c>
      <c r="AC78" s="665">
        <f t="shared" si="19"/>
        <v>0</v>
      </c>
    </row>
    <row r="79" spans="2:30" ht="12" x14ac:dyDescent="0.2">
      <c r="B79" s="94" t="s">
        <v>63</v>
      </c>
      <c r="C79" s="170">
        <v>0</v>
      </c>
      <c r="D79" s="169">
        <f t="shared" si="20"/>
        <v>0</v>
      </c>
      <c r="E79" s="125">
        <v>0</v>
      </c>
      <c r="F79" s="176">
        <f t="shared" si="11"/>
        <v>0</v>
      </c>
      <c r="G79" s="170">
        <v>0</v>
      </c>
      <c r="H79" s="329">
        <f t="shared" si="11"/>
        <v>0</v>
      </c>
      <c r="I79" s="125">
        <v>0</v>
      </c>
      <c r="J79" s="176">
        <f t="shared" si="12"/>
        <v>0</v>
      </c>
      <c r="K79" s="170">
        <v>0</v>
      </c>
      <c r="L79" s="176">
        <f t="shared" si="12"/>
        <v>0</v>
      </c>
      <c r="M79" s="170">
        <v>0</v>
      </c>
      <c r="N79" s="329">
        <f t="shared" si="13"/>
        <v>0</v>
      </c>
      <c r="O79" s="125">
        <v>0</v>
      </c>
      <c r="P79" s="329">
        <f t="shared" si="13"/>
        <v>0</v>
      </c>
      <c r="Q79" s="125">
        <v>0</v>
      </c>
      <c r="R79" s="329">
        <f t="shared" si="14"/>
        <v>0</v>
      </c>
      <c r="S79" s="125">
        <f>0</f>
        <v>0</v>
      </c>
      <c r="T79" s="329">
        <f t="shared" si="14"/>
        <v>0</v>
      </c>
      <c r="U79" s="125">
        <v>0</v>
      </c>
      <c r="V79" s="329">
        <f t="shared" si="15"/>
        <v>0</v>
      </c>
      <c r="W79" s="125">
        <v>0</v>
      </c>
      <c r="X79" s="329">
        <f t="shared" si="16"/>
        <v>0</v>
      </c>
      <c r="Y79" s="125">
        <v>0</v>
      </c>
      <c r="Z79" s="329">
        <f t="shared" si="17"/>
        <v>0</v>
      </c>
      <c r="AB79" s="662">
        <f t="shared" si="18"/>
        <v>0</v>
      </c>
      <c r="AC79" s="665">
        <f t="shared" si="19"/>
        <v>0</v>
      </c>
    </row>
    <row r="80" spans="2:30" ht="12" x14ac:dyDescent="0.2">
      <c r="B80" s="419" t="s">
        <v>77</v>
      </c>
      <c r="C80" s="171"/>
      <c r="D80" s="169"/>
      <c r="E80" s="180"/>
      <c r="F80" s="221"/>
      <c r="G80" s="249"/>
      <c r="H80" s="330"/>
      <c r="I80" s="180"/>
      <c r="J80" s="221"/>
      <c r="K80" s="249"/>
      <c r="L80" s="221"/>
      <c r="M80" s="249"/>
      <c r="N80" s="330"/>
      <c r="O80" s="180"/>
      <c r="P80" s="330"/>
      <c r="Q80" s="180"/>
      <c r="R80" s="330"/>
      <c r="S80" s="180"/>
      <c r="T80" s="330"/>
      <c r="U80" s="180"/>
      <c r="V80" s="330"/>
      <c r="W80" s="180"/>
      <c r="X80" s="330"/>
      <c r="Y80" s="180"/>
      <c r="Z80" s="330"/>
      <c r="AB80" s="666"/>
      <c r="AC80" s="663"/>
    </row>
    <row r="81" spans="1:31" ht="12" x14ac:dyDescent="0.2">
      <c r="B81" s="45" t="s">
        <v>64</v>
      </c>
      <c r="C81" s="183">
        <v>2</v>
      </c>
      <c r="D81" s="169">
        <f t="shared" si="20"/>
        <v>0.125</v>
      </c>
      <c r="E81" s="52">
        <v>3</v>
      </c>
      <c r="F81" s="222">
        <f>E81/F$70</f>
        <v>0.16666666666666666</v>
      </c>
      <c r="G81" s="183">
        <v>3</v>
      </c>
      <c r="H81" s="331">
        <f>G81/H$70</f>
        <v>0.16666666666666666</v>
      </c>
      <c r="I81" s="101">
        <v>3</v>
      </c>
      <c r="J81" s="176">
        <f>I81/J$70</f>
        <v>0.17647058823529413</v>
      </c>
      <c r="K81" s="183">
        <v>1</v>
      </c>
      <c r="L81" s="176">
        <f>K81/L$70</f>
        <v>7.6923076923076927E-2</v>
      </c>
      <c r="M81" s="183">
        <v>2</v>
      </c>
      <c r="N81" s="329">
        <f>M81/N$70</f>
        <v>0.125</v>
      </c>
      <c r="O81" s="101">
        <v>2</v>
      </c>
      <c r="P81" s="329">
        <f>O81/P$70</f>
        <v>0.125</v>
      </c>
      <c r="Q81" s="101">
        <v>3</v>
      </c>
      <c r="R81" s="329">
        <f>Q81/R$70</f>
        <v>0.1875</v>
      </c>
      <c r="S81" s="101">
        <f>2</f>
        <v>2</v>
      </c>
      <c r="T81" s="329">
        <f>S81/T$70</f>
        <v>0.1111111111111111</v>
      </c>
      <c r="U81" s="101">
        <v>4</v>
      </c>
      <c r="V81" s="329">
        <f>U81/V$70</f>
        <v>0.26666666666666666</v>
      </c>
      <c r="W81" s="101">
        <v>3</v>
      </c>
      <c r="X81" s="329">
        <f>W81/X$70</f>
        <v>0.1875</v>
      </c>
      <c r="Y81" s="101">
        <v>3</v>
      </c>
      <c r="Z81" s="329">
        <f>Y81/Z$70</f>
        <v>0.21428571428571427</v>
      </c>
      <c r="AB81" s="662">
        <f t="shared" ref="AB81:AB82" si="21">AVERAGE(W81,U81,S81,Q81,Y81)</f>
        <v>3</v>
      </c>
      <c r="AC81" s="665">
        <f t="shared" ref="AC81:AC82" si="22">AVERAGE(X81,V81,T81,R81,Z81)</f>
        <v>0.19341269841269842</v>
      </c>
    </row>
    <row r="82" spans="1:31" ht="12" x14ac:dyDescent="0.2">
      <c r="B82" s="45" t="s">
        <v>65</v>
      </c>
      <c r="C82" s="183">
        <v>14</v>
      </c>
      <c r="D82" s="169">
        <f t="shared" si="20"/>
        <v>0.875</v>
      </c>
      <c r="E82" s="178">
        <v>15</v>
      </c>
      <c r="F82" s="222">
        <f>E82/F$70</f>
        <v>0.83333333333333337</v>
      </c>
      <c r="G82" s="250">
        <v>15</v>
      </c>
      <c r="H82" s="331">
        <f>G82/H$70</f>
        <v>0.83333333333333337</v>
      </c>
      <c r="I82" s="323">
        <v>14</v>
      </c>
      <c r="J82" s="176">
        <f>I82/J$70</f>
        <v>0.82352941176470584</v>
      </c>
      <c r="K82" s="250">
        <v>12</v>
      </c>
      <c r="L82" s="176">
        <f>K82/L$70</f>
        <v>0.92307692307692313</v>
      </c>
      <c r="M82" s="250">
        <v>14</v>
      </c>
      <c r="N82" s="329">
        <f>M82/N$70</f>
        <v>0.875</v>
      </c>
      <c r="O82" s="323">
        <v>14</v>
      </c>
      <c r="P82" s="329">
        <f>O82/P$70</f>
        <v>0.875</v>
      </c>
      <c r="Q82" s="323">
        <v>13</v>
      </c>
      <c r="R82" s="329">
        <f>Q82/R$70</f>
        <v>0.8125</v>
      </c>
      <c r="S82" s="323">
        <f>7+9</f>
        <v>16</v>
      </c>
      <c r="T82" s="329">
        <f>S82/T$70</f>
        <v>0.88888888888888884</v>
      </c>
      <c r="U82" s="323">
        <v>11</v>
      </c>
      <c r="V82" s="329">
        <f>U82/V$70</f>
        <v>0.73333333333333328</v>
      </c>
      <c r="W82" s="323">
        <f>4+9</f>
        <v>13</v>
      </c>
      <c r="X82" s="329">
        <f>W82/X$70</f>
        <v>0.8125</v>
      </c>
      <c r="Y82" s="323">
        <v>11</v>
      </c>
      <c r="Z82" s="329">
        <f>Y82/Z$70</f>
        <v>0.7857142857142857</v>
      </c>
      <c r="AB82" s="662">
        <f t="shared" si="21"/>
        <v>12.8</v>
      </c>
      <c r="AC82" s="665">
        <f t="shared" si="22"/>
        <v>0.80658730158730163</v>
      </c>
    </row>
    <row r="83" spans="1:31" ht="12" x14ac:dyDescent="0.2">
      <c r="B83" s="419" t="s">
        <v>78</v>
      </c>
      <c r="C83" s="173"/>
      <c r="D83" s="169"/>
      <c r="E83" s="181"/>
      <c r="F83" s="222"/>
      <c r="G83" s="251"/>
      <c r="H83" s="331"/>
      <c r="I83" s="324"/>
      <c r="J83" s="176"/>
      <c r="K83" s="251"/>
      <c r="L83" s="176"/>
      <c r="M83" s="251"/>
      <c r="N83" s="329"/>
      <c r="O83" s="324"/>
      <c r="P83" s="329"/>
      <c r="Q83" s="324"/>
      <c r="R83" s="329"/>
      <c r="S83" s="324"/>
      <c r="T83" s="329"/>
      <c r="U83" s="324"/>
      <c r="V83" s="329"/>
      <c r="W83" s="324"/>
      <c r="X83" s="329"/>
      <c r="Y83" s="324"/>
      <c r="Z83" s="329"/>
      <c r="AB83" s="673"/>
      <c r="AC83" s="674"/>
    </row>
    <row r="84" spans="1:31" ht="12" x14ac:dyDescent="0.2">
      <c r="B84" s="45" t="s">
        <v>66</v>
      </c>
      <c r="C84" s="179">
        <v>9</v>
      </c>
      <c r="D84" s="169">
        <f t="shared" si="20"/>
        <v>0.5625</v>
      </c>
      <c r="E84" s="178">
        <v>9</v>
      </c>
      <c r="F84" s="222">
        <f>E84/F$70</f>
        <v>0.5</v>
      </c>
      <c r="G84" s="250">
        <v>8</v>
      </c>
      <c r="H84" s="331">
        <f>G84/H$70</f>
        <v>0.44444444444444442</v>
      </c>
      <c r="I84" s="323">
        <v>7</v>
      </c>
      <c r="J84" s="176">
        <f>I84/J$70</f>
        <v>0.41176470588235292</v>
      </c>
      <c r="K84" s="250">
        <v>6</v>
      </c>
      <c r="L84" s="176">
        <f>K84/L$70</f>
        <v>0.46153846153846156</v>
      </c>
      <c r="M84" s="250">
        <v>7</v>
      </c>
      <c r="N84" s="329">
        <f>M84/N$70</f>
        <v>0.4375</v>
      </c>
      <c r="O84" s="323">
        <v>8</v>
      </c>
      <c r="P84" s="329">
        <f>O84/P$70</f>
        <v>0.5</v>
      </c>
      <c r="Q84" s="323">
        <v>7</v>
      </c>
      <c r="R84" s="329">
        <f>Q84/R$70</f>
        <v>0.4375</v>
      </c>
      <c r="S84" s="323">
        <f>1+6</f>
        <v>7</v>
      </c>
      <c r="T84" s="329">
        <f>S84/T$70</f>
        <v>0.3888888888888889</v>
      </c>
      <c r="U84" s="323">
        <v>7</v>
      </c>
      <c r="V84" s="329">
        <f>U84/V$70</f>
        <v>0.46666666666666667</v>
      </c>
      <c r="W84" s="323">
        <v>7</v>
      </c>
      <c r="X84" s="329">
        <f>W84/X$70</f>
        <v>0.4375</v>
      </c>
      <c r="Y84" s="323">
        <v>8</v>
      </c>
      <c r="Z84" s="329">
        <f>Y84/Z$70</f>
        <v>0.5714285714285714</v>
      </c>
      <c r="AB84" s="662">
        <f t="shared" ref="AB84:AB86" si="23">AVERAGE(W84,U84,S84,Q84,Y84)</f>
        <v>7.2</v>
      </c>
      <c r="AC84" s="665">
        <f t="shared" ref="AC84:AC86" si="24">AVERAGE(X84,V84,T84,R84,Z84)</f>
        <v>0.46039682539682547</v>
      </c>
    </row>
    <row r="85" spans="1:31" ht="12" x14ac:dyDescent="0.2">
      <c r="B85" s="45" t="s">
        <v>67</v>
      </c>
      <c r="C85" s="179">
        <v>4</v>
      </c>
      <c r="D85" s="169">
        <f t="shared" si="20"/>
        <v>0.25</v>
      </c>
      <c r="E85" s="178">
        <v>5</v>
      </c>
      <c r="F85" s="222">
        <f>E85/F$70</f>
        <v>0.27777777777777779</v>
      </c>
      <c r="G85" s="250">
        <v>3</v>
      </c>
      <c r="H85" s="331">
        <f>G85/H$70</f>
        <v>0.16666666666666666</v>
      </c>
      <c r="I85" s="323">
        <v>6</v>
      </c>
      <c r="J85" s="176">
        <f>I85/J$70</f>
        <v>0.35294117647058826</v>
      </c>
      <c r="K85" s="250">
        <v>6</v>
      </c>
      <c r="L85" s="176">
        <f>K85/L$70</f>
        <v>0.46153846153846156</v>
      </c>
      <c r="M85" s="250">
        <v>8</v>
      </c>
      <c r="N85" s="329">
        <f>M85/N$70</f>
        <v>0.5</v>
      </c>
      <c r="O85" s="323">
        <v>7</v>
      </c>
      <c r="P85" s="329">
        <f>O85/P$70</f>
        <v>0.4375</v>
      </c>
      <c r="Q85" s="323">
        <v>6</v>
      </c>
      <c r="R85" s="329">
        <f>Q85/R$70</f>
        <v>0.375</v>
      </c>
      <c r="S85" s="323">
        <f>5</f>
        <v>5</v>
      </c>
      <c r="T85" s="329">
        <f>S85/T$70</f>
        <v>0.27777777777777779</v>
      </c>
      <c r="U85" s="323">
        <v>6</v>
      </c>
      <c r="V85" s="329">
        <f>U85/V$70</f>
        <v>0.4</v>
      </c>
      <c r="W85" s="323">
        <v>5</v>
      </c>
      <c r="X85" s="329">
        <f>W85/X$70</f>
        <v>0.3125</v>
      </c>
      <c r="Y85" s="323">
        <v>4</v>
      </c>
      <c r="Z85" s="329">
        <f>Y85/Z$70</f>
        <v>0.2857142857142857</v>
      </c>
      <c r="AB85" s="662">
        <f t="shared" si="23"/>
        <v>5.2</v>
      </c>
      <c r="AC85" s="665">
        <f t="shared" si="24"/>
        <v>0.33019841269841271</v>
      </c>
    </row>
    <row r="86" spans="1:31" ht="12" x14ac:dyDescent="0.2">
      <c r="B86" s="45" t="s">
        <v>68</v>
      </c>
      <c r="C86" s="179">
        <v>3</v>
      </c>
      <c r="D86" s="169">
        <f t="shared" si="20"/>
        <v>0.1875</v>
      </c>
      <c r="E86" s="178">
        <v>4</v>
      </c>
      <c r="F86" s="222">
        <f>E86/F$70</f>
        <v>0.22222222222222221</v>
      </c>
      <c r="G86" s="250">
        <v>7</v>
      </c>
      <c r="H86" s="331">
        <f>G86/H$70</f>
        <v>0.3888888888888889</v>
      </c>
      <c r="I86" s="323">
        <v>4</v>
      </c>
      <c r="J86" s="176">
        <f>I86/J$70</f>
        <v>0.23529411764705882</v>
      </c>
      <c r="K86" s="250">
        <v>1</v>
      </c>
      <c r="L86" s="176">
        <f>K86/L$70</f>
        <v>7.6923076923076927E-2</v>
      </c>
      <c r="M86" s="250">
        <v>1</v>
      </c>
      <c r="N86" s="329">
        <f>M86/N$70</f>
        <v>6.25E-2</v>
      </c>
      <c r="O86" s="323">
        <v>1</v>
      </c>
      <c r="P86" s="329">
        <f>O86/P$70</f>
        <v>6.25E-2</v>
      </c>
      <c r="Q86" s="323">
        <v>3</v>
      </c>
      <c r="R86" s="329">
        <f>Q86/R$70</f>
        <v>0.1875</v>
      </c>
      <c r="S86" s="323">
        <f>6</f>
        <v>6</v>
      </c>
      <c r="T86" s="329">
        <f>S86/T$70</f>
        <v>0.33333333333333331</v>
      </c>
      <c r="U86" s="323">
        <v>2</v>
      </c>
      <c r="V86" s="329">
        <f>U86/V$70</f>
        <v>0.13333333333333333</v>
      </c>
      <c r="W86" s="323">
        <v>4</v>
      </c>
      <c r="X86" s="329">
        <f>W86/X$70</f>
        <v>0.25</v>
      </c>
      <c r="Y86" s="323">
        <v>2</v>
      </c>
      <c r="Z86" s="329">
        <f>Y86/Z$70</f>
        <v>0.14285714285714285</v>
      </c>
      <c r="AB86" s="662">
        <f t="shared" si="23"/>
        <v>3.4</v>
      </c>
      <c r="AC86" s="665">
        <f t="shared" si="24"/>
        <v>0.20940476190476187</v>
      </c>
    </row>
    <row r="87" spans="1:31" ht="12" x14ac:dyDescent="0.2">
      <c r="B87" s="419" t="s">
        <v>79</v>
      </c>
      <c r="C87" s="173"/>
      <c r="D87" s="169"/>
      <c r="E87" s="181"/>
      <c r="F87" s="222"/>
      <c r="G87" s="251"/>
      <c r="H87" s="331"/>
      <c r="I87" s="324"/>
      <c r="J87" s="176"/>
      <c r="K87" s="251"/>
      <c r="L87" s="176"/>
      <c r="M87" s="251"/>
      <c r="N87" s="329"/>
      <c r="O87" s="324"/>
      <c r="P87" s="329"/>
      <c r="Q87" s="324"/>
      <c r="R87" s="329"/>
      <c r="S87" s="324"/>
      <c r="T87" s="329"/>
      <c r="U87" s="324"/>
      <c r="V87" s="329"/>
      <c r="W87" s="324"/>
      <c r="X87" s="329"/>
      <c r="Y87" s="324"/>
      <c r="Z87" s="329"/>
      <c r="AB87" s="619"/>
      <c r="AC87" s="618"/>
    </row>
    <row r="88" spans="1:31" ht="12" x14ac:dyDescent="0.2">
      <c r="B88" s="45" t="s">
        <v>69</v>
      </c>
      <c r="C88" s="179">
        <v>9</v>
      </c>
      <c r="D88" s="169">
        <f t="shared" si="20"/>
        <v>0.5625</v>
      </c>
      <c r="E88" s="178">
        <v>9</v>
      </c>
      <c r="F88" s="222">
        <f>E88/F$70</f>
        <v>0.5</v>
      </c>
      <c r="G88" s="250">
        <v>7</v>
      </c>
      <c r="H88" s="331">
        <f>G88/H$70</f>
        <v>0.3888888888888889</v>
      </c>
      <c r="I88" s="323">
        <v>9</v>
      </c>
      <c r="J88" s="176">
        <f>I88/J$70</f>
        <v>0.52941176470588236</v>
      </c>
      <c r="K88" s="250">
        <v>7</v>
      </c>
      <c r="L88" s="176">
        <f>K88/L$70</f>
        <v>0.53846153846153844</v>
      </c>
      <c r="M88" s="250">
        <v>9</v>
      </c>
      <c r="N88" s="329">
        <f>M88/N$70</f>
        <v>0.5625</v>
      </c>
      <c r="O88" s="323">
        <v>8</v>
      </c>
      <c r="P88" s="329">
        <f>O88/P$70</f>
        <v>0.5</v>
      </c>
      <c r="Q88" s="323">
        <v>7</v>
      </c>
      <c r="R88" s="329">
        <f>Q88/R$70</f>
        <v>0.4375</v>
      </c>
      <c r="S88" s="323">
        <f>1+6</f>
        <v>7</v>
      </c>
      <c r="T88" s="329">
        <f>S88/T$70</f>
        <v>0.3888888888888889</v>
      </c>
      <c r="U88" s="323">
        <v>8</v>
      </c>
      <c r="V88" s="329">
        <f>U88/V$70</f>
        <v>0.53333333333333333</v>
      </c>
      <c r="W88" s="323">
        <v>8</v>
      </c>
      <c r="X88" s="329">
        <f>W88/X$70</f>
        <v>0.5</v>
      </c>
      <c r="Y88" s="323">
        <v>7</v>
      </c>
      <c r="Z88" s="329">
        <f>Y88/Z$70</f>
        <v>0.5</v>
      </c>
      <c r="AB88" s="662">
        <f t="shared" ref="AB88:AB91" si="25">AVERAGE(W88,U88,S88,Q88,Y88)</f>
        <v>7.4</v>
      </c>
      <c r="AC88" s="665">
        <f t="shared" ref="AC88:AC91" si="26">AVERAGE(X88,V88,T88,R88,Z88)</f>
        <v>0.47194444444444439</v>
      </c>
    </row>
    <row r="89" spans="1:31" ht="12" x14ac:dyDescent="0.2">
      <c r="B89" s="45" t="s">
        <v>70</v>
      </c>
      <c r="C89" s="179">
        <v>4</v>
      </c>
      <c r="D89" s="169">
        <f t="shared" si="20"/>
        <v>0.25</v>
      </c>
      <c r="E89" s="178">
        <v>8</v>
      </c>
      <c r="F89" s="222">
        <f>E89/F$70</f>
        <v>0.44444444444444442</v>
      </c>
      <c r="G89" s="250">
        <v>7</v>
      </c>
      <c r="H89" s="331">
        <f>G89/H$70</f>
        <v>0.3888888888888889</v>
      </c>
      <c r="I89" s="323">
        <v>6</v>
      </c>
      <c r="J89" s="176">
        <f>I89/J$70</f>
        <v>0.35294117647058826</v>
      </c>
      <c r="K89" s="250">
        <v>6</v>
      </c>
      <c r="L89" s="176">
        <f>K89/L$70</f>
        <v>0.46153846153846156</v>
      </c>
      <c r="M89" s="250">
        <v>7</v>
      </c>
      <c r="N89" s="329">
        <f>M89/N$70</f>
        <v>0.4375</v>
      </c>
      <c r="O89" s="323">
        <v>8</v>
      </c>
      <c r="P89" s="329">
        <f>O89/P$70</f>
        <v>0.5</v>
      </c>
      <c r="Q89" s="323">
        <v>7</v>
      </c>
      <c r="R89" s="329">
        <f>Q89/R$70</f>
        <v>0.4375</v>
      </c>
      <c r="S89" s="323">
        <f>3+5</f>
        <v>8</v>
      </c>
      <c r="T89" s="329">
        <f>S89/T$70</f>
        <v>0.44444444444444442</v>
      </c>
      <c r="U89" s="323">
        <v>6</v>
      </c>
      <c r="V89" s="329">
        <f>U89/V$70</f>
        <v>0.4</v>
      </c>
      <c r="W89" s="323">
        <v>7</v>
      </c>
      <c r="X89" s="329">
        <f>W89/X$70</f>
        <v>0.4375</v>
      </c>
      <c r="Y89" s="323">
        <v>6</v>
      </c>
      <c r="Z89" s="329">
        <f>Y89/Z$70</f>
        <v>0.42857142857142855</v>
      </c>
      <c r="AB89" s="662">
        <f t="shared" si="25"/>
        <v>6.8</v>
      </c>
      <c r="AC89" s="665">
        <f t="shared" si="26"/>
        <v>0.4296031746031746</v>
      </c>
    </row>
    <row r="90" spans="1:31" ht="12" x14ac:dyDescent="0.2">
      <c r="B90" s="45" t="s">
        <v>71</v>
      </c>
      <c r="C90" s="179">
        <v>3</v>
      </c>
      <c r="D90" s="169">
        <f t="shared" si="20"/>
        <v>0.1875</v>
      </c>
      <c r="E90" s="178">
        <v>1</v>
      </c>
      <c r="F90" s="222">
        <f>E90/F$70</f>
        <v>5.5555555555555552E-2</v>
      </c>
      <c r="G90" s="250">
        <v>4</v>
      </c>
      <c r="H90" s="331">
        <f>G90/H$70</f>
        <v>0.22222222222222221</v>
      </c>
      <c r="I90" s="323">
        <v>2</v>
      </c>
      <c r="J90" s="176">
        <f>I90/J$70</f>
        <v>0.11764705882352941</v>
      </c>
      <c r="K90" s="250">
        <v>0</v>
      </c>
      <c r="L90" s="176">
        <f>K90/L$70</f>
        <v>0</v>
      </c>
      <c r="M90" s="250">
        <v>0</v>
      </c>
      <c r="N90" s="329">
        <f>M90/N$70</f>
        <v>0</v>
      </c>
      <c r="O90" s="323">
        <v>0</v>
      </c>
      <c r="P90" s="329">
        <f>O90/P$70</f>
        <v>0</v>
      </c>
      <c r="Q90" s="323">
        <v>2</v>
      </c>
      <c r="R90" s="329">
        <f>Q90/R$70</f>
        <v>0.125</v>
      </c>
      <c r="S90" s="323">
        <f>3</f>
        <v>3</v>
      </c>
      <c r="T90" s="329">
        <f>S90/T$70</f>
        <v>0.16666666666666666</v>
      </c>
      <c r="U90" s="323">
        <v>1</v>
      </c>
      <c r="V90" s="329">
        <f>U90/V$70</f>
        <v>6.6666666666666666E-2</v>
      </c>
      <c r="W90" s="323">
        <v>1</v>
      </c>
      <c r="X90" s="329">
        <f>W90/X$70</f>
        <v>6.25E-2</v>
      </c>
      <c r="Y90" s="323">
        <v>1</v>
      </c>
      <c r="Z90" s="329">
        <f>Y90/Z$70</f>
        <v>7.1428571428571425E-2</v>
      </c>
      <c r="AB90" s="662">
        <f t="shared" si="25"/>
        <v>1.6</v>
      </c>
      <c r="AC90" s="665">
        <f t="shared" si="26"/>
        <v>9.845238095238093E-2</v>
      </c>
    </row>
    <row r="91" spans="1:31" thickBot="1" x14ac:dyDescent="0.25">
      <c r="B91" s="120" t="s">
        <v>72</v>
      </c>
      <c r="C91" s="174">
        <v>0</v>
      </c>
      <c r="D91" s="175">
        <f t="shared" si="20"/>
        <v>0</v>
      </c>
      <c r="E91" s="182">
        <v>0</v>
      </c>
      <c r="F91" s="223">
        <f>E91/F$70</f>
        <v>0</v>
      </c>
      <c r="G91" s="252">
        <v>0</v>
      </c>
      <c r="H91" s="332">
        <f>G91/H$70</f>
        <v>0</v>
      </c>
      <c r="I91" s="325">
        <v>0</v>
      </c>
      <c r="J91" s="177">
        <f>I91/J$70</f>
        <v>0</v>
      </c>
      <c r="K91" s="252">
        <v>0</v>
      </c>
      <c r="L91" s="177">
        <f>K91/L$70</f>
        <v>0</v>
      </c>
      <c r="M91" s="252">
        <v>0</v>
      </c>
      <c r="N91" s="342">
        <f>M91/N$70</f>
        <v>0</v>
      </c>
      <c r="O91" s="325">
        <v>0</v>
      </c>
      <c r="P91" s="342">
        <f>O91/P$70</f>
        <v>0</v>
      </c>
      <c r="Q91" s="325">
        <v>0</v>
      </c>
      <c r="R91" s="342">
        <f>Q91/R$70</f>
        <v>0</v>
      </c>
      <c r="S91" s="325">
        <v>0</v>
      </c>
      <c r="T91" s="342">
        <f>S91/T$70</f>
        <v>0</v>
      </c>
      <c r="U91" s="325">
        <v>0</v>
      </c>
      <c r="V91" s="342">
        <f>U91/V$70</f>
        <v>0</v>
      </c>
      <c r="W91" s="325">
        <v>0</v>
      </c>
      <c r="X91" s="342">
        <f>W91/X$70</f>
        <v>0</v>
      </c>
      <c r="Y91" s="325">
        <v>0</v>
      </c>
      <c r="Z91" s="342">
        <f>Y91/Z$70</f>
        <v>0</v>
      </c>
      <c r="AB91" s="667">
        <f t="shared" si="25"/>
        <v>0</v>
      </c>
      <c r="AC91" s="668">
        <f t="shared" si="26"/>
        <v>0</v>
      </c>
    </row>
    <row r="92" spans="1:31" ht="14.25" customHeight="1" thickTop="1" thickBot="1" x14ac:dyDescent="0.25">
      <c r="A92" s="272"/>
      <c r="B92" s="524" t="s">
        <v>104</v>
      </c>
      <c r="C92" s="1292" t="s">
        <v>27</v>
      </c>
      <c r="D92" s="1293"/>
      <c r="E92" s="1294" t="s">
        <v>28</v>
      </c>
      <c r="F92" s="1294"/>
      <c r="G92" s="1286" t="s">
        <v>83</v>
      </c>
      <c r="H92" s="1255"/>
      <c r="I92" s="1250" t="s">
        <v>93</v>
      </c>
      <c r="J92" s="1250"/>
      <c r="K92" s="1267" t="s">
        <v>94</v>
      </c>
      <c r="L92" s="1250"/>
      <c r="M92" s="1267" t="s">
        <v>100</v>
      </c>
      <c r="N92" s="1251"/>
      <c r="O92" s="1250" t="s">
        <v>143</v>
      </c>
      <c r="P92" s="1251"/>
      <c r="Q92" s="1250" t="s">
        <v>149</v>
      </c>
      <c r="R92" s="1251"/>
      <c r="S92" s="1250" t="s">
        <v>167</v>
      </c>
      <c r="T92" s="1251"/>
      <c r="U92" s="1250" t="s">
        <v>181</v>
      </c>
      <c r="V92" s="1251"/>
      <c r="W92" s="1250" t="s">
        <v>194</v>
      </c>
      <c r="X92" s="1251"/>
      <c r="Y92" s="1250" t="s">
        <v>203</v>
      </c>
      <c r="Z92" s="1251"/>
      <c r="AB92" s="1259" t="s">
        <v>133</v>
      </c>
      <c r="AC92" s="1268"/>
      <c r="AD92"/>
      <c r="AE92"/>
    </row>
    <row r="93" spans="1:31" ht="14.25" customHeight="1" x14ac:dyDescent="0.2">
      <c r="A93" s="272"/>
      <c r="B93" s="525"/>
      <c r="C93" s="67" t="s">
        <v>74</v>
      </c>
      <c r="D93" s="526" t="s">
        <v>18</v>
      </c>
      <c r="E93" s="67" t="s">
        <v>74</v>
      </c>
      <c r="F93" s="526" t="s">
        <v>18</v>
      </c>
      <c r="G93" s="67" t="s">
        <v>74</v>
      </c>
      <c r="H93" s="526" t="s">
        <v>18</v>
      </c>
      <c r="I93" s="67" t="s">
        <v>74</v>
      </c>
      <c r="J93" s="526" t="s">
        <v>18</v>
      </c>
      <c r="K93" s="67" t="s">
        <v>74</v>
      </c>
      <c r="L93" s="526" t="s">
        <v>18</v>
      </c>
      <c r="M93" s="67" t="s">
        <v>74</v>
      </c>
      <c r="N93" s="526" t="s">
        <v>18</v>
      </c>
      <c r="O93" s="67" t="s">
        <v>74</v>
      </c>
      <c r="P93" s="526" t="s">
        <v>18</v>
      </c>
      <c r="Q93" s="203" t="s">
        <v>74</v>
      </c>
      <c r="R93" s="526" t="s">
        <v>18</v>
      </c>
      <c r="S93" s="203" t="s">
        <v>74</v>
      </c>
      <c r="T93" s="526" t="s">
        <v>18</v>
      </c>
      <c r="U93" s="203" t="s">
        <v>74</v>
      </c>
      <c r="V93" s="526" t="s">
        <v>18</v>
      </c>
      <c r="W93" s="203" t="s">
        <v>74</v>
      </c>
      <c r="X93" s="526" t="s">
        <v>18</v>
      </c>
      <c r="Y93" s="203" t="s">
        <v>74</v>
      </c>
      <c r="Z93" s="526" t="s">
        <v>18</v>
      </c>
      <c r="AA93" s="4"/>
      <c r="AB93" s="623" t="s">
        <v>74</v>
      </c>
      <c r="AC93" s="527" t="s">
        <v>18</v>
      </c>
      <c r="AD93"/>
      <c r="AE93"/>
    </row>
    <row r="94" spans="1:31" ht="14.25" customHeight="1" x14ac:dyDescent="0.2">
      <c r="A94" s="272"/>
      <c r="B94" s="417" t="s">
        <v>105</v>
      </c>
      <c r="C94" s="66">
        <v>7</v>
      </c>
      <c r="D94" s="528">
        <v>3.5</v>
      </c>
      <c r="E94" s="203">
        <v>4</v>
      </c>
      <c r="F94" s="529">
        <v>2</v>
      </c>
      <c r="G94" s="203">
        <v>2</v>
      </c>
      <c r="H94" s="529">
        <v>1</v>
      </c>
      <c r="I94" s="203">
        <v>1</v>
      </c>
      <c r="J94" s="995">
        <v>0.5</v>
      </c>
      <c r="K94" s="67">
        <v>1</v>
      </c>
      <c r="L94" s="995">
        <v>0.5</v>
      </c>
      <c r="M94" s="598">
        <v>1</v>
      </c>
      <c r="N94" s="993">
        <v>0.5</v>
      </c>
      <c r="O94" s="598">
        <v>3</v>
      </c>
      <c r="P94" s="993">
        <v>1.5</v>
      </c>
      <c r="Q94" s="598">
        <v>2</v>
      </c>
      <c r="R94" s="991">
        <v>1</v>
      </c>
      <c r="S94" s="598">
        <v>1</v>
      </c>
      <c r="T94" s="991">
        <v>0.5</v>
      </c>
      <c r="U94" s="598">
        <v>0</v>
      </c>
      <c r="V94" s="991">
        <v>0</v>
      </c>
      <c r="W94" s="598">
        <v>2</v>
      </c>
      <c r="X94" s="991">
        <v>1</v>
      </c>
      <c r="Y94" s="598">
        <v>3</v>
      </c>
      <c r="Z94" s="991">
        <v>1.5</v>
      </c>
      <c r="AA94" s="4"/>
      <c r="AB94" s="637">
        <f t="shared" ref="AB94:AB96" si="27">AVERAGE(W94,U94,S94,Q94,Y94)</f>
        <v>1.6</v>
      </c>
      <c r="AC94" s="743">
        <f t="shared" ref="AC94:AC96" si="28">AVERAGE(X94,V94,T94,R94,Z94)</f>
        <v>0.8</v>
      </c>
      <c r="AD94"/>
      <c r="AE94"/>
    </row>
    <row r="95" spans="1:31" ht="14.25" customHeight="1" x14ac:dyDescent="0.2">
      <c r="A95" s="272"/>
      <c r="B95" s="417" t="s">
        <v>106</v>
      </c>
      <c r="C95" s="66">
        <v>4</v>
      </c>
      <c r="D95" s="528">
        <v>1.9</v>
      </c>
      <c r="E95" s="203">
        <v>4</v>
      </c>
      <c r="F95" s="529">
        <v>2</v>
      </c>
      <c r="G95" s="203">
        <v>5</v>
      </c>
      <c r="H95" s="529">
        <v>2.5</v>
      </c>
      <c r="I95" s="203">
        <v>3</v>
      </c>
      <c r="J95" s="995">
        <v>1.1000000000000001</v>
      </c>
      <c r="K95" s="67">
        <v>3</v>
      </c>
      <c r="L95" s="995">
        <v>1.5</v>
      </c>
      <c r="M95" s="598">
        <v>5</v>
      </c>
      <c r="N95" s="993">
        <v>2.5</v>
      </c>
      <c r="O95" s="598">
        <v>5</v>
      </c>
      <c r="P95" s="993">
        <v>2.5</v>
      </c>
      <c r="Q95" s="598">
        <v>7</v>
      </c>
      <c r="R95" s="991">
        <v>3.5</v>
      </c>
      <c r="S95" s="598">
        <v>4</v>
      </c>
      <c r="T95" s="991">
        <v>2</v>
      </c>
      <c r="U95" s="598">
        <v>4</v>
      </c>
      <c r="V95" s="991">
        <v>1.65</v>
      </c>
      <c r="W95" s="598">
        <v>3</v>
      </c>
      <c r="X95" s="991">
        <v>1.5</v>
      </c>
      <c r="Y95" s="598">
        <v>3</v>
      </c>
      <c r="Z95" s="991">
        <v>1.5</v>
      </c>
      <c r="AA95" s="4"/>
      <c r="AB95" s="637">
        <f t="shared" si="27"/>
        <v>4.2</v>
      </c>
      <c r="AC95" s="743">
        <f t="shared" si="28"/>
        <v>2.0300000000000002</v>
      </c>
      <c r="AD95"/>
      <c r="AE95"/>
    </row>
    <row r="96" spans="1:31" ht="14.25" customHeight="1" thickBot="1" x14ac:dyDescent="0.25">
      <c r="A96" s="272"/>
      <c r="B96" s="120" t="s">
        <v>132</v>
      </c>
      <c r="C96" s="530">
        <v>1</v>
      </c>
      <c r="D96" s="531">
        <v>0.5</v>
      </c>
      <c r="E96" s="683">
        <v>1</v>
      </c>
      <c r="F96" s="533">
        <v>0.4</v>
      </c>
      <c r="G96" s="683">
        <v>1</v>
      </c>
      <c r="H96" s="533">
        <v>0.3</v>
      </c>
      <c r="I96" s="683">
        <v>1</v>
      </c>
      <c r="J96" s="996">
        <v>0</v>
      </c>
      <c r="K96" s="532">
        <v>4</v>
      </c>
      <c r="L96" s="996">
        <v>1.5</v>
      </c>
      <c r="M96" s="599">
        <v>1</v>
      </c>
      <c r="N96" s="994">
        <v>0.5</v>
      </c>
      <c r="O96" s="599">
        <v>0</v>
      </c>
      <c r="P96" s="994">
        <v>0</v>
      </c>
      <c r="Q96" s="599">
        <v>0</v>
      </c>
      <c r="R96" s="992">
        <v>0</v>
      </c>
      <c r="S96" s="599">
        <v>0</v>
      </c>
      <c r="T96" s="992">
        <v>0</v>
      </c>
      <c r="U96" s="599">
        <v>0</v>
      </c>
      <c r="V96" s="992">
        <v>0</v>
      </c>
      <c r="W96" s="599">
        <v>0</v>
      </c>
      <c r="X96" s="992">
        <v>0</v>
      </c>
      <c r="Y96" s="599">
        <v>1</v>
      </c>
      <c r="Z96" s="992">
        <v>0.5</v>
      </c>
      <c r="AA96" s="4"/>
      <c r="AB96" s="684">
        <f t="shared" si="27"/>
        <v>0.2</v>
      </c>
      <c r="AC96" s="745">
        <f t="shared" si="28"/>
        <v>0.1</v>
      </c>
      <c r="AD96"/>
      <c r="AE96"/>
    </row>
    <row r="97" spans="1:31" ht="17.25" thickTop="1" thickBot="1" x14ac:dyDescent="0.3">
      <c r="A97" s="534"/>
      <c r="B97" s="535"/>
      <c r="C97" s="1282" t="s">
        <v>29</v>
      </c>
      <c r="D97" s="1295"/>
      <c r="E97" s="1282" t="s">
        <v>30</v>
      </c>
      <c r="F97" s="1295"/>
      <c r="G97" s="1280" t="s">
        <v>120</v>
      </c>
      <c r="H97" s="1253"/>
      <c r="I97" s="1280" t="s">
        <v>121</v>
      </c>
      <c r="J97" s="1253"/>
      <c r="K97" s="1280" t="s">
        <v>122</v>
      </c>
      <c r="L97" s="1291"/>
      <c r="M97" s="1269" t="s">
        <v>123</v>
      </c>
      <c r="N97" s="1253"/>
      <c r="O97" s="1252" t="s">
        <v>154</v>
      </c>
      <c r="P97" s="1256"/>
      <c r="Q97" s="1252" t="s">
        <v>150</v>
      </c>
      <c r="R97" s="1253"/>
      <c r="S97" s="1252" t="s">
        <v>164</v>
      </c>
      <c r="T97" s="1253"/>
      <c r="U97" s="1252" t="s">
        <v>182</v>
      </c>
      <c r="V97" s="1253"/>
      <c r="W97" s="1252" t="s">
        <v>195</v>
      </c>
      <c r="X97" s="1253"/>
      <c r="Y97" s="1252" t="s">
        <v>204</v>
      </c>
      <c r="Z97" s="1253"/>
      <c r="AA97" s="664"/>
      <c r="AB97" s="84"/>
      <c r="AC97" s="747"/>
      <c r="AD97" s="916"/>
      <c r="AE97"/>
    </row>
    <row r="98" spans="1:31" x14ac:dyDescent="0.2">
      <c r="B98" s="418" t="s">
        <v>131</v>
      </c>
      <c r="C98" s="1"/>
      <c r="D98" s="537"/>
      <c r="E98" s="538"/>
      <c r="F98" s="539"/>
      <c r="G98" s="540"/>
      <c r="H98" s="541"/>
      <c r="I98" s="542"/>
      <c r="J98" s="414"/>
      <c r="K98" s="543"/>
      <c r="L98" s="544"/>
      <c r="M98" s="543"/>
      <c r="N98" s="559"/>
      <c r="O98" s="878"/>
      <c r="P98" s="879"/>
      <c r="Q98" s="543"/>
      <c r="R98" s="559"/>
      <c r="S98" s="543"/>
      <c r="T98" s="559"/>
      <c r="U98" s="95"/>
      <c r="V98" s="847"/>
      <c r="W98" s="543"/>
      <c r="X98" s="559"/>
      <c r="Y98" s="543"/>
      <c r="Z98" s="559"/>
      <c r="AA98" s="4"/>
      <c r="AB98" s="4"/>
      <c r="AC98" s="4"/>
      <c r="AD98"/>
      <c r="AE98"/>
    </row>
    <row r="99" spans="1:31" x14ac:dyDescent="0.2">
      <c r="A99" s="272"/>
      <c r="B99" s="545" t="s">
        <v>110</v>
      </c>
      <c r="C99" s="1302">
        <v>7.74</v>
      </c>
      <c r="D99" s="1303"/>
      <c r="E99" s="548"/>
      <c r="F99" s="549"/>
      <c r="G99" s="550"/>
      <c r="H99" s="551"/>
      <c r="I99" s="1304">
        <v>8.6</v>
      </c>
      <c r="J99" s="1305"/>
      <c r="K99" s="552"/>
      <c r="L99" s="553"/>
      <c r="M99" s="552"/>
      <c r="N99" s="559"/>
      <c r="O99" s="884"/>
      <c r="P99" s="885">
        <v>12.6</v>
      </c>
      <c r="Q99" s="552"/>
      <c r="R99" s="559"/>
      <c r="S99" s="552"/>
      <c r="T99" s="559"/>
      <c r="U99" s="202"/>
      <c r="V99" s="885">
        <v>12.5</v>
      </c>
      <c r="W99" s="552"/>
      <c r="X99" s="559"/>
      <c r="Y99" s="552"/>
      <c r="Z99" s="559"/>
      <c r="AA99" s="4"/>
      <c r="AB99" s="4"/>
      <c r="AC99" s="880"/>
      <c r="AD99"/>
      <c r="AE99"/>
    </row>
    <row r="100" spans="1:31" x14ac:dyDescent="0.2">
      <c r="A100" s="272"/>
      <c r="B100" s="554" t="s">
        <v>111</v>
      </c>
      <c r="C100" s="546"/>
      <c r="D100" s="547"/>
      <c r="E100" s="548"/>
      <c r="F100" s="549"/>
      <c r="G100" s="550"/>
      <c r="H100" s="551"/>
      <c r="I100" s="560"/>
      <c r="J100" s="561"/>
      <c r="K100" s="552"/>
      <c r="L100" s="553"/>
      <c r="M100" s="552"/>
      <c r="N100" s="559"/>
      <c r="O100" s="884"/>
      <c r="P100" s="885"/>
      <c r="Q100" s="552"/>
      <c r="R100" s="559"/>
      <c r="S100" s="552"/>
      <c r="T100" s="559"/>
      <c r="U100" s="202"/>
      <c r="V100" s="885"/>
      <c r="W100" s="552"/>
      <c r="X100" s="559"/>
      <c r="Y100" s="552"/>
      <c r="Z100" s="559"/>
      <c r="AA100" s="4"/>
      <c r="AB100" s="4"/>
      <c r="AC100" s="880"/>
      <c r="AD100"/>
      <c r="AE100"/>
    </row>
    <row r="101" spans="1:31" x14ac:dyDescent="0.2">
      <c r="A101" s="272"/>
      <c r="B101" s="554" t="s">
        <v>112</v>
      </c>
      <c r="C101" s="1308">
        <v>0.9</v>
      </c>
      <c r="D101" s="1309"/>
      <c r="E101" s="548"/>
      <c r="F101" s="549"/>
      <c r="G101" s="550"/>
      <c r="H101" s="551"/>
      <c r="I101" s="1306">
        <v>0.1</v>
      </c>
      <c r="J101" s="1307"/>
      <c r="K101" s="552"/>
      <c r="L101" s="553"/>
      <c r="M101" s="552"/>
      <c r="N101" s="559"/>
      <c r="O101" s="884"/>
      <c r="P101" s="885">
        <v>2</v>
      </c>
      <c r="Q101" s="552"/>
      <c r="R101" s="559"/>
      <c r="S101" s="552"/>
      <c r="T101" s="559"/>
      <c r="U101" s="202"/>
      <c r="V101" s="885">
        <v>0</v>
      </c>
      <c r="W101" s="552"/>
      <c r="X101" s="559"/>
      <c r="Y101" s="552"/>
      <c r="Z101" s="559"/>
      <c r="AA101" s="4"/>
      <c r="AB101" s="4"/>
      <c r="AC101" s="880"/>
      <c r="AD101"/>
      <c r="AE101"/>
    </row>
    <row r="102" spans="1:31" x14ac:dyDescent="0.2">
      <c r="A102" s="272"/>
      <c r="B102" s="545" t="s">
        <v>113</v>
      </c>
      <c r="C102" s="1302">
        <v>1.4</v>
      </c>
      <c r="D102" s="1303"/>
      <c r="E102" s="548"/>
      <c r="F102" s="549"/>
      <c r="G102" s="550"/>
      <c r="H102" s="551"/>
      <c r="I102" s="1304">
        <v>1</v>
      </c>
      <c r="J102" s="1305"/>
      <c r="K102" s="552"/>
      <c r="L102" s="553"/>
      <c r="M102" s="552"/>
      <c r="N102" s="559"/>
      <c r="O102" s="884"/>
      <c r="P102" s="885">
        <v>0.5</v>
      </c>
      <c r="Q102" s="552"/>
      <c r="R102" s="559"/>
      <c r="S102" s="552"/>
      <c r="T102" s="559"/>
      <c r="U102" s="202"/>
      <c r="V102" s="885">
        <v>1.5</v>
      </c>
      <c r="W102" s="552"/>
      <c r="X102" s="559"/>
      <c r="Y102" s="552"/>
      <c r="Z102" s="559"/>
      <c r="AA102" s="4"/>
      <c r="AB102" s="4"/>
      <c r="AC102" s="880"/>
      <c r="AD102"/>
      <c r="AE102"/>
    </row>
    <row r="103" spans="1:31" x14ac:dyDescent="0.2">
      <c r="A103" s="272"/>
      <c r="B103" s="555" t="s">
        <v>114</v>
      </c>
      <c r="C103" s="1302">
        <v>1.05</v>
      </c>
      <c r="D103" s="1303"/>
      <c r="E103" s="548"/>
      <c r="F103" s="549"/>
      <c r="G103" s="550"/>
      <c r="H103" s="551"/>
      <c r="I103" s="1304">
        <v>2.5</v>
      </c>
      <c r="J103" s="1305"/>
      <c r="K103" s="552"/>
      <c r="L103" s="553"/>
      <c r="M103" s="552"/>
      <c r="N103" s="559"/>
      <c r="O103" s="884"/>
      <c r="P103" s="885">
        <v>0.5</v>
      </c>
      <c r="Q103" s="552"/>
      <c r="R103" s="559"/>
      <c r="S103" s="552"/>
      <c r="T103" s="559"/>
      <c r="U103" s="202"/>
      <c r="V103" s="885">
        <f>0.2+0.9</f>
        <v>1.1000000000000001</v>
      </c>
      <c r="W103" s="552"/>
      <c r="X103" s="559"/>
      <c r="Y103" s="552"/>
      <c r="Z103" s="559"/>
      <c r="AA103" s="4"/>
      <c r="AB103" s="4"/>
      <c r="AC103" s="880"/>
      <c r="AD103"/>
      <c r="AE103"/>
    </row>
    <row r="104" spans="1:31" x14ac:dyDescent="0.2">
      <c r="A104" s="272"/>
      <c r="B104" s="555" t="s">
        <v>115</v>
      </c>
      <c r="C104" s="1302">
        <f>SUM(C99:D103)</f>
        <v>11.090000000000002</v>
      </c>
      <c r="D104" s="1303"/>
      <c r="E104" s="548"/>
      <c r="F104" s="549"/>
      <c r="G104" s="550"/>
      <c r="H104" s="551"/>
      <c r="I104" s="1304">
        <f>SUM(I99:J103)</f>
        <v>12.2</v>
      </c>
      <c r="J104" s="1305"/>
      <c r="K104" s="552"/>
      <c r="L104" s="553"/>
      <c r="M104" s="552"/>
      <c r="N104" s="559"/>
      <c r="O104" s="884"/>
      <c r="P104" s="885">
        <f>SUM(P99:P103)</f>
        <v>15.6</v>
      </c>
      <c r="Q104" s="552"/>
      <c r="R104" s="559"/>
      <c r="S104" s="552"/>
      <c r="T104" s="559"/>
      <c r="U104" s="202"/>
      <c r="V104" s="885">
        <f>SUM(V99:V103)</f>
        <v>15.1</v>
      </c>
      <c r="W104" s="552"/>
      <c r="X104" s="559"/>
      <c r="Y104" s="552"/>
      <c r="Z104" s="559"/>
      <c r="AA104" s="4"/>
      <c r="AB104" s="4"/>
      <c r="AC104" s="880"/>
      <c r="AD104"/>
      <c r="AE104"/>
    </row>
    <row r="105" spans="1:31" ht="13.5" thickBot="1" x14ac:dyDescent="0.25">
      <c r="A105" s="272"/>
      <c r="B105" s="556" t="s">
        <v>125</v>
      </c>
      <c r="C105" s="1302"/>
      <c r="D105" s="1303"/>
      <c r="E105" s="548"/>
      <c r="F105" s="549"/>
      <c r="G105" s="550"/>
      <c r="H105" s="551"/>
      <c r="I105" s="1302"/>
      <c r="J105" s="1303"/>
      <c r="K105" s="552"/>
      <c r="L105" s="553"/>
      <c r="M105" s="552"/>
      <c r="N105" s="559"/>
      <c r="O105" s="884"/>
      <c r="P105" s="847"/>
      <c r="Q105" s="552"/>
      <c r="R105" s="559"/>
      <c r="S105" s="552"/>
      <c r="T105" s="559"/>
      <c r="U105" s="202"/>
      <c r="V105" s="847"/>
      <c r="W105" s="552"/>
      <c r="X105" s="559"/>
      <c r="Y105" s="552"/>
      <c r="Z105" s="559"/>
      <c r="AA105" s="4"/>
      <c r="AB105" s="4"/>
      <c r="AC105" s="880"/>
      <c r="AD105"/>
      <c r="AE105"/>
    </row>
    <row r="106" spans="1:31" x14ac:dyDescent="0.2">
      <c r="A106" s="272"/>
      <c r="B106" s="545" t="s">
        <v>116</v>
      </c>
      <c r="C106" s="1314">
        <v>2896</v>
      </c>
      <c r="D106" s="1315"/>
      <c r="E106" s="557"/>
      <c r="F106" s="558"/>
      <c r="G106" s="543"/>
      <c r="H106" s="559"/>
      <c r="I106" s="1314">
        <v>1738</v>
      </c>
      <c r="J106" s="1315"/>
      <c r="K106" s="552"/>
      <c r="L106" s="553"/>
      <c r="M106" s="552"/>
      <c r="N106" s="559"/>
      <c r="O106" s="888"/>
      <c r="P106" s="869">
        <v>2095</v>
      </c>
      <c r="Q106" s="552"/>
      <c r="R106" s="559"/>
      <c r="S106" s="552"/>
      <c r="T106" s="559"/>
      <c r="U106" s="202"/>
      <c r="V106" s="869">
        <v>2268</v>
      </c>
      <c r="W106" s="552"/>
      <c r="X106" s="559"/>
      <c r="Y106" s="552"/>
      <c r="Z106" s="559"/>
      <c r="AA106" s="4"/>
      <c r="AB106" s="4"/>
      <c r="AC106" s="890"/>
      <c r="AD106"/>
      <c r="AE106"/>
    </row>
    <row r="107" spans="1:31" x14ac:dyDescent="0.2">
      <c r="A107" s="272"/>
      <c r="B107" s="555" t="s">
        <v>117</v>
      </c>
      <c r="C107" s="1314">
        <v>140</v>
      </c>
      <c r="D107" s="1315"/>
      <c r="E107" s="557"/>
      <c r="F107" s="558"/>
      <c r="G107" s="543"/>
      <c r="H107" s="559"/>
      <c r="I107" s="1314">
        <v>54</v>
      </c>
      <c r="J107" s="1315"/>
      <c r="K107" s="552"/>
      <c r="L107" s="553"/>
      <c r="M107" s="552"/>
      <c r="N107" s="559"/>
      <c r="O107" s="888"/>
      <c r="P107" s="869">
        <v>279</v>
      </c>
      <c r="Q107" s="552"/>
      <c r="R107" s="559"/>
      <c r="S107" s="552"/>
      <c r="T107" s="559"/>
      <c r="U107" s="202"/>
      <c r="V107" s="869">
        <v>0</v>
      </c>
      <c r="W107" s="552"/>
      <c r="X107" s="559"/>
      <c r="Y107" s="552"/>
      <c r="Z107" s="559"/>
      <c r="AA107" s="4"/>
      <c r="AB107" s="4"/>
      <c r="AC107" s="890"/>
      <c r="AD107"/>
      <c r="AE107"/>
    </row>
    <row r="108" spans="1:31" x14ac:dyDescent="0.2">
      <c r="A108" s="272"/>
      <c r="B108" s="555" t="s">
        <v>118</v>
      </c>
      <c r="C108" s="1314">
        <v>235</v>
      </c>
      <c r="D108" s="1315"/>
      <c r="E108" s="557"/>
      <c r="F108" s="558"/>
      <c r="G108" s="543"/>
      <c r="H108" s="559"/>
      <c r="I108" s="1314">
        <v>893</v>
      </c>
      <c r="J108" s="1315"/>
      <c r="K108" s="552"/>
      <c r="L108" s="553"/>
      <c r="M108" s="552"/>
      <c r="N108" s="559"/>
      <c r="O108" s="888"/>
      <c r="P108" s="869">
        <v>215</v>
      </c>
      <c r="Q108" s="552"/>
      <c r="R108" s="559"/>
      <c r="S108" s="552"/>
      <c r="T108" s="559"/>
      <c r="U108" s="202"/>
      <c r="V108" s="869">
        <f>39+221</f>
        <v>260</v>
      </c>
      <c r="W108" s="552"/>
      <c r="X108" s="559"/>
      <c r="Y108" s="552"/>
      <c r="Z108" s="559"/>
      <c r="AA108" s="4"/>
      <c r="AB108" s="4"/>
      <c r="AC108" s="890"/>
      <c r="AD108"/>
      <c r="AE108"/>
    </row>
    <row r="109" spans="1:31" x14ac:dyDescent="0.2">
      <c r="A109" s="272"/>
      <c r="B109" s="555" t="s">
        <v>130</v>
      </c>
      <c r="C109" s="1314">
        <f>SUM(C106:D108)</f>
        <v>3271</v>
      </c>
      <c r="D109" s="1315"/>
      <c r="E109" s="557"/>
      <c r="F109" s="558"/>
      <c r="G109" s="543"/>
      <c r="H109" s="559"/>
      <c r="I109" s="1314">
        <v>2685</v>
      </c>
      <c r="J109" s="1315"/>
      <c r="K109" s="552"/>
      <c r="L109" s="553"/>
      <c r="M109" s="552"/>
      <c r="N109" s="559"/>
      <c r="O109" s="888"/>
      <c r="P109" s="869">
        <f>SUM(P106:P108)</f>
        <v>2589</v>
      </c>
      <c r="Q109" s="552"/>
      <c r="R109" s="559"/>
      <c r="S109" s="552"/>
      <c r="T109" s="559"/>
      <c r="U109" s="202"/>
      <c r="V109" s="869">
        <f>SUM(V106:V108)</f>
        <v>2528</v>
      </c>
      <c r="W109" s="552"/>
      <c r="X109" s="559"/>
      <c r="Y109" s="552"/>
      <c r="Z109" s="559"/>
      <c r="AA109" s="4"/>
      <c r="AB109" s="4"/>
      <c r="AC109" s="890"/>
      <c r="AD109"/>
      <c r="AE109"/>
    </row>
    <row r="110" spans="1:31" ht="13.5" thickBot="1" x14ac:dyDescent="0.25">
      <c r="A110" s="272"/>
      <c r="B110" s="556" t="s">
        <v>126</v>
      </c>
      <c r="C110" s="1304"/>
      <c r="D110" s="1300"/>
      <c r="E110" s="557"/>
      <c r="F110" s="558"/>
      <c r="G110" s="543"/>
      <c r="H110" s="559"/>
      <c r="I110" s="1304"/>
      <c r="J110" s="1300"/>
      <c r="K110" s="552"/>
      <c r="L110" s="553"/>
      <c r="M110" s="552"/>
      <c r="N110" s="559"/>
      <c r="O110" s="891"/>
      <c r="P110" s="885"/>
      <c r="Q110" s="552"/>
      <c r="R110" s="559"/>
      <c r="S110" s="552"/>
      <c r="T110" s="559"/>
      <c r="U110" s="202"/>
      <c r="V110" s="885"/>
      <c r="W110" s="552"/>
      <c r="X110" s="559"/>
      <c r="Y110" s="552"/>
      <c r="Z110" s="559"/>
      <c r="AA110" s="4"/>
      <c r="AB110" s="4"/>
      <c r="AC110" s="890"/>
      <c r="AD110"/>
      <c r="AE110"/>
    </row>
    <row r="111" spans="1:31" x14ac:dyDescent="0.2">
      <c r="A111" s="272"/>
      <c r="B111" s="545" t="s">
        <v>127</v>
      </c>
      <c r="C111" s="1312">
        <v>374</v>
      </c>
      <c r="D111" s="1313"/>
      <c r="E111" s="562"/>
      <c r="F111" s="563"/>
      <c r="G111" s="564"/>
      <c r="H111" s="565"/>
      <c r="I111" s="1312">
        <v>202</v>
      </c>
      <c r="J111" s="1313"/>
      <c r="K111" s="552"/>
      <c r="L111" s="566"/>
      <c r="M111" s="552"/>
      <c r="N111" s="559"/>
      <c r="O111" s="891"/>
      <c r="P111" s="870">
        <f>P106/P99</f>
        <v>166.26984126984127</v>
      </c>
      <c r="Q111" s="552"/>
      <c r="R111" s="559"/>
      <c r="S111" s="552"/>
      <c r="T111" s="559"/>
      <c r="U111" s="202"/>
      <c r="V111" s="870">
        <f>V106/V99</f>
        <v>181.44</v>
      </c>
      <c r="W111" s="552"/>
      <c r="X111" s="559"/>
      <c r="Y111" s="552"/>
      <c r="Z111" s="559"/>
      <c r="AA111" s="4"/>
      <c r="AB111" s="4"/>
      <c r="AC111" s="889"/>
      <c r="AD111"/>
      <c r="AE111"/>
    </row>
    <row r="112" spans="1:31" x14ac:dyDescent="0.2">
      <c r="A112" s="272"/>
      <c r="B112" s="555" t="s">
        <v>128</v>
      </c>
      <c r="C112" s="1312">
        <v>156</v>
      </c>
      <c r="D112" s="1313"/>
      <c r="E112" s="562"/>
      <c r="F112" s="563"/>
      <c r="G112" s="564"/>
      <c r="H112" s="565"/>
      <c r="I112" s="1312">
        <v>540</v>
      </c>
      <c r="J112" s="1313"/>
      <c r="K112" s="552"/>
      <c r="L112" s="566"/>
      <c r="M112" s="552"/>
      <c r="N112" s="559"/>
      <c r="O112" s="891"/>
      <c r="P112" s="870">
        <f>P107/P101</f>
        <v>139.5</v>
      </c>
      <c r="Q112" s="552"/>
      <c r="R112" s="559"/>
      <c r="S112" s="552"/>
      <c r="T112" s="559"/>
      <c r="U112" s="202"/>
      <c r="V112" s="870">
        <f>0</f>
        <v>0</v>
      </c>
      <c r="W112" s="552"/>
      <c r="X112" s="559"/>
      <c r="Y112" s="552"/>
      <c r="Z112" s="559"/>
      <c r="AA112" s="4"/>
      <c r="AB112" s="4"/>
      <c r="AC112" s="889"/>
      <c r="AD112"/>
      <c r="AE112"/>
    </row>
    <row r="113" spans="1:31" x14ac:dyDescent="0.2">
      <c r="A113" s="272"/>
      <c r="B113" s="555" t="s">
        <v>129</v>
      </c>
      <c r="C113" s="1312">
        <v>224</v>
      </c>
      <c r="D113" s="1313"/>
      <c r="E113" s="562"/>
      <c r="F113" s="563"/>
      <c r="G113" s="564"/>
      <c r="H113" s="565"/>
      <c r="I113" s="1312">
        <v>357</v>
      </c>
      <c r="J113" s="1313"/>
      <c r="K113" s="552"/>
      <c r="L113" s="566"/>
      <c r="M113" s="552"/>
      <c r="N113" s="559"/>
      <c r="O113" s="891"/>
      <c r="P113" s="870">
        <f>P108/P103</f>
        <v>430</v>
      </c>
      <c r="Q113" s="552"/>
      <c r="R113" s="559"/>
      <c r="S113" s="552"/>
      <c r="T113" s="559"/>
      <c r="U113" s="202"/>
      <c r="V113" s="870">
        <f>V108/V103</f>
        <v>236.36363636363635</v>
      </c>
      <c r="W113" s="552"/>
      <c r="X113" s="559"/>
      <c r="Y113" s="552"/>
      <c r="Z113" s="559"/>
      <c r="AA113" s="4"/>
      <c r="AB113" s="4"/>
      <c r="AC113" s="889"/>
      <c r="AD113"/>
      <c r="AE113"/>
    </row>
    <row r="114" spans="1:31" ht="13.5" thickBot="1" x14ac:dyDescent="0.25">
      <c r="A114" s="272"/>
      <c r="B114" s="568" t="s">
        <v>119</v>
      </c>
      <c r="C114" s="1310">
        <v>295</v>
      </c>
      <c r="D114" s="1311"/>
      <c r="E114" s="569"/>
      <c r="F114" s="570"/>
      <c r="G114" s="571"/>
      <c r="H114" s="572"/>
      <c r="I114" s="1310">
        <v>220</v>
      </c>
      <c r="J114" s="1311"/>
      <c r="K114" s="573"/>
      <c r="L114" s="574"/>
      <c r="M114" s="573"/>
      <c r="N114" s="574"/>
      <c r="O114" s="892"/>
      <c r="P114" s="871">
        <f>P109/P104</f>
        <v>165.96153846153845</v>
      </c>
      <c r="Q114" s="573"/>
      <c r="R114" s="574"/>
      <c r="S114" s="573"/>
      <c r="T114" s="574"/>
      <c r="U114" s="413"/>
      <c r="V114" s="871">
        <f>V109/V104</f>
        <v>167.41721854304637</v>
      </c>
      <c r="W114" s="573"/>
      <c r="X114" s="574"/>
      <c r="Y114" s="573"/>
      <c r="Z114" s="574"/>
      <c r="AA114" s="4"/>
      <c r="AB114" s="4"/>
      <c r="AC114" s="889"/>
      <c r="AD114"/>
      <c r="AE114"/>
    </row>
    <row r="115" spans="1:31" ht="13.5" thickTop="1" x14ac:dyDescent="0.2">
      <c r="B115" s="868" t="str">
        <f>'HE Summary'!B118</f>
        <v>*Note: For the 2009 collection cycle and later, Instructional FTE was defined according to the national Delaware Study of Instructional Costs and Productivity</v>
      </c>
      <c r="AB115" s="4"/>
      <c r="AC115" s="4"/>
    </row>
  </sheetData>
  <mergeCells count="129">
    <mergeCell ref="AB92:AC92"/>
    <mergeCell ref="Q92:R92"/>
    <mergeCell ref="AB20:AC20"/>
    <mergeCell ref="AB28:AC28"/>
    <mergeCell ref="AB35:AC35"/>
    <mergeCell ref="S28:T28"/>
    <mergeCell ref="S35:T35"/>
    <mergeCell ref="W97:X97"/>
    <mergeCell ref="W7:X7"/>
    <mergeCell ref="W20:X20"/>
    <mergeCell ref="W28:X28"/>
    <mergeCell ref="W35:X35"/>
    <mergeCell ref="W62:X62"/>
    <mergeCell ref="W92:X92"/>
    <mergeCell ref="U97:V97"/>
    <mergeCell ref="U7:V7"/>
    <mergeCell ref="U20:V20"/>
    <mergeCell ref="U28:V28"/>
    <mergeCell ref="U35:V35"/>
    <mergeCell ref="U62:V62"/>
    <mergeCell ref="U92:V92"/>
    <mergeCell ref="AB62:AC62"/>
    <mergeCell ref="S92:T92"/>
    <mergeCell ref="Y92:Z92"/>
    <mergeCell ref="O62:P62"/>
    <mergeCell ref="K28:L28"/>
    <mergeCell ref="M28:N28"/>
    <mergeCell ref="S7:T7"/>
    <mergeCell ref="S20:T20"/>
    <mergeCell ref="Q7:R7"/>
    <mergeCell ref="AB7:AC7"/>
    <mergeCell ref="Q20:R20"/>
    <mergeCell ref="K7:L7"/>
    <mergeCell ref="K20:L20"/>
    <mergeCell ref="K35:L35"/>
    <mergeCell ref="K62:L62"/>
    <mergeCell ref="S62:T62"/>
    <mergeCell ref="Q62:R62"/>
    <mergeCell ref="Q28:R28"/>
    <mergeCell ref="Q35:R35"/>
    <mergeCell ref="O7:P7"/>
    <mergeCell ref="O20:P20"/>
    <mergeCell ref="M7:N7"/>
    <mergeCell ref="Y7:Z7"/>
    <mergeCell ref="Y20:Z20"/>
    <mergeCell ref="Y28:Z28"/>
    <mergeCell ref="Y35:Z35"/>
    <mergeCell ref="Y62:Z62"/>
    <mergeCell ref="C114:D114"/>
    <mergeCell ref="I114:J114"/>
    <mergeCell ref="C28:D28"/>
    <mergeCell ref="E28:F28"/>
    <mergeCell ref="G28:H28"/>
    <mergeCell ref="I28:J28"/>
    <mergeCell ref="C30:D30"/>
    <mergeCell ref="E30:F30"/>
    <mergeCell ref="C112:D112"/>
    <mergeCell ref="I112:J112"/>
    <mergeCell ref="C113:D113"/>
    <mergeCell ref="I113:J113"/>
    <mergeCell ref="C110:D110"/>
    <mergeCell ref="I110:J110"/>
    <mergeCell ref="C111:D111"/>
    <mergeCell ref="I111:J111"/>
    <mergeCell ref="C108:D108"/>
    <mergeCell ref="I108:J108"/>
    <mergeCell ref="C109:D109"/>
    <mergeCell ref="I109:J109"/>
    <mergeCell ref="C106:D106"/>
    <mergeCell ref="I106:J106"/>
    <mergeCell ref="C107:D107"/>
    <mergeCell ref="I107:J107"/>
    <mergeCell ref="C104:D104"/>
    <mergeCell ref="I104:J104"/>
    <mergeCell ref="C105:D105"/>
    <mergeCell ref="I105:J105"/>
    <mergeCell ref="C102:D102"/>
    <mergeCell ref="I102:J102"/>
    <mergeCell ref="C103:D103"/>
    <mergeCell ref="I103:J103"/>
    <mergeCell ref="I99:J99"/>
    <mergeCell ref="I101:J101"/>
    <mergeCell ref="C99:D99"/>
    <mergeCell ref="C101:D101"/>
    <mergeCell ref="I97:J97"/>
    <mergeCell ref="G35:H35"/>
    <mergeCell ref="G62:H62"/>
    <mergeCell ref="E29:F29"/>
    <mergeCell ref="C35:D35"/>
    <mergeCell ref="C31:D31"/>
    <mergeCell ref="E31:F31"/>
    <mergeCell ref="C92:D92"/>
    <mergeCell ref="I7:J7"/>
    <mergeCell ref="I20:J20"/>
    <mergeCell ref="I35:J35"/>
    <mergeCell ref="I62:J62"/>
    <mergeCell ref="I30:J30"/>
    <mergeCell ref="I29:J29"/>
    <mergeCell ref="G29:H29"/>
    <mergeCell ref="I31:J31"/>
    <mergeCell ref="G31:H31"/>
    <mergeCell ref="G92:H92"/>
    <mergeCell ref="I92:J92"/>
    <mergeCell ref="E35:F35"/>
    <mergeCell ref="G20:H20"/>
    <mergeCell ref="Y97:Z97"/>
    <mergeCell ref="O92:P92"/>
    <mergeCell ref="E20:F20"/>
    <mergeCell ref="C97:D97"/>
    <mergeCell ref="E62:F62"/>
    <mergeCell ref="S97:T97"/>
    <mergeCell ref="Q97:R97"/>
    <mergeCell ref="M20:N20"/>
    <mergeCell ref="M35:N35"/>
    <mergeCell ref="M62:N62"/>
    <mergeCell ref="O28:P28"/>
    <mergeCell ref="O35:P35"/>
    <mergeCell ref="M97:N97"/>
    <mergeCell ref="M92:N92"/>
    <mergeCell ref="O97:P97"/>
    <mergeCell ref="C20:D20"/>
    <mergeCell ref="C29:D29"/>
    <mergeCell ref="G30:H30"/>
    <mergeCell ref="E97:F97"/>
    <mergeCell ref="G97:H97"/>
    <mergeCell ref="K92:L92"/>
    <mergeCell ref="C62:D62"/>
    <mergeCell ref="E92:F92"/>
    <mergeCell ref="K97:L97"/>
  </mergeCells>
  <phoneticPr fontId="0" type="noConversion"/>
  <printOptions horizontalCentered="1"/>
  <pageMargins left="0.5" right="0.5" top="0.4" bottom="0.5" header="0.5" footer="0.5"/>
  <pageSetup scale="70" orientation="landscape" r:id="rId1"/>
  <headerFooter alignWithMargins="0">
    <oddFooter>&amp;R&amp;P of &amp;N
&amp;D</oddFooter>
  </headerFooter>
  <rowBreaks count="1" manualBreakCount="1">
    <brk id="58" max="16" man="1"/>
  </rowBreaks>
  <ignoredErrors>
    <ignoredError sqref="S72:S90 W72:W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7"/>
  <sheetViews>
    <sheetView view="pageBreakPreview" zoomScaleNormal="100" zoomScaleSheetLayoutView="100" workbookViewId="0">
      <pane xSplit="2" ySplit="1" topLeftCell="O2" activePane="bottomRight" state="frozen"/>
      <selection activeCell="Y91" sqref="Y91:Z91"/>
      <selection pane="topRight" activeCell="Y91" sqref="Y91:Z91"/>
      <selection pane="bottomLeft" activeCell="Y91" sqref="Y91:Z91"/>
      <selection pane="bottomRight" activeCell="Y91" sqref="Y91:Z91"/>
    </sheetView>
  </sheetViews>
  <sheetFormatPr defaultColWidth="10.28515625" defaultRowHeight="12.75" x14ac:dyDescent="0.2"/>
  <cols>
    <col min="1" max="1" width="3.7109375" style="1" customWidth="1"/>
    <col min="2" max="2" width="26.5703125" style="1" customWidth="1"/>
    <col min="3" max="3" width="7.7109375" hidden="1" customWidth="1"/>
    <col min="4" max="4" width="10.42578125" hidden="1" customWidth="1"/>
    <col min="5" max="5" width="7.7109375" hidden="1" customWidth="1"/>
    <col min="6" max="6" width="10.42578125" hidden="1" customWidth="1"/>
    <col min="7" max="7" width="7.7109375" style="199" hidden="1" customWidth="1"/>
    <col min="8" max="8" width="10.42578125" style="199" hidden="1" customWidth="1"/>
    <col min="9" max="9" width="7.7109375" style="199" hidden="1" customWidth="1"/>
    <col min="10" max="10" width="10.42578125" style="199" hidden="1" customWidth="1"/>
    <col min="11" max="11" width="7.7109375" style="1" hidden="1" customWidth="1"/>
    <col min="12" max="12" width="10.42578125" style="1" hidden="1" customWidth="1"/>
    <col min="13" max="13" width="7.7109375" style="1" hidden="1" customWidth="1"/>
    <col min="14" max="14" width="10.42578125" style="1" hidden="1" customWidth="1"/>
    <col min="15" max="15" width="7.7109375" style="1" customWidth="1"/>
    <col min="16" max="16" width="10.42578125" style="1" customWidth="1"/>
    <col min="17" max="17" width="7.7109375" style="1" customWidth="1"/>
    <col min="18" max="18" width="10.42578125" style="1" customWidth="1"/>
    <col min="19" max="19" width="7.7109375" style="1" customWidth="1"/>
    <col min="20" max="20" width="10.42578125" style="1" customWidth="1"/>
    <col min="21" max="21" width="7.7109375" style="1" customWidth="1"/>
    <col min="22" max="22" width="10.42578125" style="1" customWidth="1"/>
    <col min="23" max="23" width="7.7109375" style="1" customWidth="1"/>
    <col min="24" max="24" width="10.42578125" style="1" customWidth="1"/>
    <col min="25" max="25" width="7.7109375" style="1" customWidth="1"/>
    <col min="26" max="26" width="10.42578125" style="1" customWidth="1"/>
    <col min="27" max="27" width="2.5703125" style="1" customWidth="1"/>
    <col min="28" max="28" width="9.140625" style="1" customWidth="1"/>
    <col min="29" max="29" width="11.28515625" style="1" customWidth="1"/>
    <col min="30" max="16384" width="10.28515625" style="1"/>
  </cols>
  <sheetData>
    <row r="1" spans="1:42" ht="18" x14ac:dyDescent="0.25">
      <c r="A1" s="768" t="str">
        <f>Dean_HE!A1</f>
        <v>Department Profile Report - FY 2015</v>
      </c>
      <c r="B1" s="768"/>
      <c r="C1" s="768"/>
      <c r="D1" s="768"/>
      <c r="E1" s="768"/>
      <c r="F1" s="768"/>
      <c r="G1" s="768"/>
      <c r="H1" s="768"/>
      <c r="I1" s="806"/>
      <c r="J1" s="806"/>
      <c r="K1" s="768"/>
      <c r="L1" s="768"/>
      <c r="M1" s="768"/>
      <c r="N1" s="768"/>
      <c r="O1" s="768"/>
      <c r="P1" s="768"/>
      <c r="Q1" s="768"/>
      <c r="R1" s="768"/>
      <c r="S1" s="768"/>
      <c r="T1" s="768"/>
      <c r="U1" s="768"/>
      <c r="V1" s="768"/>
      <c r="W1" s="768"/>
      <c r="X1" s="768"/>
      <c r="Y1" s="768"/>
      <c r="Z1" s="768"/>
      <c r="AA1" s="768"/>
      <c r="AB1" s="792"/>
      <c r="AC1" s="792"/>
      <c r="AD1" s="240"/>
      <c r="AE1" s="240"/>
      <c r="AF1" s="240"/>
      <c r="AG1" s="240"/>
      <c r="AH1" s="240"/>
      <c r="AI1" s="240"/>
      <c r="AJ1" s="240"/>
      <c r="AK1" s="240"/>
      <c r="AL1" s="240"/>
      <c r="AM1" s="240"/>
      <c r="AN1" s="240"/>
      <c r="AO1" s="240"/>
      <c r="AP1" s="240"/>
    </row>
    <row r="2" spans="1:42" ht="12" x14ac:dyDescent="0.2">
      <c r="C2" s="1"/>
      <c r="D2" s="1"/>
      <c r="E2" s="1"/>
      <c r="F2" s="1"/>
      <c r="G2" s="95"/>
      <c r="H2" s="95"/>
      <c r="I2" s="95"/>
      <c r="J2" s="95"/>
    </row>
    <row r="3" spans="1:42" x14ac:dyDescent="0.2">
      <c r="A3" s="3" t="s">
        <v>95</v>
      </c>
      <c r="C3" s="1"/>
      <c r="D3" s="1"/>
      <c r="E3" s="1"/>
      <c r="F3" s="1"/>
      <c r="G3" s="95"/>
      <c r="H3" s="95"/>
      <c r="I3" s="95"/>
      <c r="J3" s="95"/>
    </row>
    <row r="4" spans="1:42" ht="12" x14ac:dyDescent="0.2">
      <c r="C4" s="1"/>
      <c r="D4" s="1"/>
      <c r="E4" s="1"/>
      <c r="F4" s="1"/>
      <c r="G4" s="95"/>
      <c r="H4" s="95"/>
      <c r="I4" s="95"/>
      <c r="J4" s="95"/>
    </row>
    <row r="5" spans="1:42" x14ac:dyDescent="0.2">
      <c r="A5" s="3" t="s">
        <v>45</v>
      </c>
      <c r="C5" s="1"/>
      <c r="D5" s="1"/>
      <c r="E5" s="1"/>
      <c r="F5" s="1"/>
      <c r="G5" s="95"/>
      <c r="H5" s="95"/>
      <c r="I5" s="95"/>
      <c r="J5" s="95"/>
    </row>
    <row r="6" spans="1:42" ht="13.5" thickBot="1" x14ac:dyDescent="0.25">
      <c r="A6" s="3"/>
      <c r="C6" s="1"/>
      <c r="D6" s="1"/>
      <c r="E6" s="1"/>
      <c r="F6" s="1"/>
      <c r="G6" s="95"/>
      <c r="H6" s="95"/>
      <c r="I6" s="95"/>
      <c r="J6" s="95"/>
    </row>
    <row r="7" spans="1:42" ht="13.5" thickTop="1" x14ac:dyDescent="0.2">
      <c r="B7" s="41"/>
      <c r="C7" s="1320" t="s">
        <v>27</v>
      </c>
      <c r="D7" s="1321"/>
      <c r="E7" s="1327" t="s">
        <v>28</v>
      </c>
      <c r="F7" s="1328"/>
      <c r="G7" s="1265" t="s">
        <v>83</v>
      </c>
      <c r="H7" s="1249"/>
      <c r="I7" s="1248" t="s">
        <v>93</v>
      </c>
      <c r="J7" s="1266"/>
      <c r="K7" s="1265" t="s">
        <v>94</v>
      </c>
      <c r="L7" s="1266"/>
      <c r="M7" s="1265" t="s">
        <v>100</v>
      </c>
      <c r="N7" s="1249"/>
      <c r="O7" s="1248" t="s">
        <v>143</v>
      </c>
      <c r="P7" s="1249"/>
      <c r="Q7" s="1248" t="s">
        <v>149</v>
      </c>
      <c r="R7" s="1249"/>
      <c r="S7" s="1248" t="s">
        <v>167</v>
      </c>
      <c r="T7" s="1249"/>
      <c r="U7" s="1248" t="s">
        <v>181</v>
      </c>
      <c r="V7" s="1249"/>
      <c r="W7" s="1248" t="s">
        <v>194</v>
      </c>
      <c r="X7" s="1249"/>
      <c r="Y7" s="1248" t="s">
        <v>203</v>
      </c>
      <c r="Z7" s="1249"/>
      <c r="AB7" s="1263" t="s">
        <v>133</v>
      </c>
      <c r="AC7" s="1316"/>
    </row>
    <row r="8" spans="1:42" ht="12" x14ac:dyDescent="0.2">
      <c r="B8" s="42"/>
      <c r="C8" s="21" t="s">
        <v>0</v>
      </c>
      <c r="D8" s="22" t="s">
        <v>1</v>
      </c>
      <c r="E8" s="10" t="s">
        <v>0</v>
      </c>
      <c r="F8" s="7" t="s">
        <v>1</v>
      </c>
      <c r="G8" s="227" t="s">
        <v>0</v>
      </c>
      <c r="H8" s="333" t="s">
        <v>1</v>
      </c>
      <c r="I8" s="299" t="s">
        <v>0</v>
      </c>
      <c r="J8" s="349" t="s">
        <v>1</v>
      </c>
      <c r="K8" s="227" t="s">
        <v>0</v>
      </c>
      <c r="L8" s="349" t="s">
        <v>1</v>
      </c>
      <c r="M8" s="227" t="s">
        <v>0</v>
      </c>
      <c r="N8" s="333" t="s">
        <v>1</v>
      </c>
      <c r="O8" s="299" t="s">
        <v>0</v>
      </c>
      <c r="P8" s="333" t="s">
        <v>1</v>
      </c>
      <c r="Q8" s="299" t="s">
        <v>0</v>
      </c>
      <c r="R8" s="333" t="s">
        <v>1</v>
      </c>
      <c r="S8" s="299" t="s">
        <v>0</v>
      </c>
      <c r="T8" s="333" t="s">
        <v>1</v>
      </c>
      <c r="U8" s="299" t="s">
        <v>0</v>
      </c>
      <c r="V8" s="333" t="s">
        <v>1</v>
      </c>
      <c r="W8" s="299" t="s">
        <v>0</v>
      </c>
      <c r="X8" s="333" t="s">
        <v>1</v>
      </c>
      <c r="Y8" s="299" t="s">
        <v>0</v>
      </c>
      <c r="Z8" s="333" t="s">
        <v>1</v>
      </c>
      <c r="AB8" s="642" t="s">
        <v>0</v>
      </c>
      <c r="AC8" s="643" t="s">
        <v>1</v>
      </c>
    </row>
    <row r="9" spans="1:42" thickBot="1" x14ac:dyDescent="0.25">
      <c r="B9" s="43"/>
      <c r="C9" s="23" t="s">
        <v>2</v>
      </c>
      <c r="D9" s="24" t="s">
        <v>3</v>
      </c>
      <c r="E9" s="16" t="s">
        <v>2</v>
      </c>
      <c r="F9" s="17" t="s">
        <v>3</v>
      </c>
      <c r="G9" s="228" t="s">
        <v>2</v>
      </c>
      <c r="H9" s="334" t="s">
        <v>3</v>
      </c>
      <c r="I9" s="300" t="s">
        <v>2</v>
      </c>
      <c r="J9" s="350" t="s">
        <v>3</v>
      </c>
      <c r="K9" s="228" t="s">
        <v>2</v>
      </c>
      <c r="L9" s="350" t="s">
        <v>3</v>
      </c>
      <c r="M9" s="228" t="s">
        <v>2</v>
      </c>
      <c r="N9" s="334" t="s">
        <v>3</v>
      </c>
      <c r="O9" s="300" t="s">
        <v>2</v>
      </c>
      <c r="P9" s="334" t="s">
        <v>3</v>
      </c>
      <c r="Q9" s="300" t="s">
        <v>2</v>
      </c>
      <c r="R9" s="334" t="s">
        <v>3</v>
      </c>
      <c r="S9" s="300" t="s">
        <v>2</v>
      </c>
      <c r="T9" s="334" t="s">
        <v>3</v>
      </c>
      <c r="U9" s="300" t="s">
        <v>2</v>
      </c>
      <c r="V9" s="334" t="s">
        <v>3</v>
      </c>
      <c r="W9" s="300" t="s">
        <v>2</v>
      </c>
      <c r="X9" s="334" t="s">
        <v>3</v>
      </c>
      <c r="Y9" s="300" t="s">
        <v>2</v>
      </c>
      <c r="Z9" s="334" t="s">
        <v>3</v>
      </c>
      <c r="AB9" s="644" t="s">
        <v>2</v>
      </c>
      <c r="AC9" s="645" t="s">
        <v>3</v>
      </c>
    </row>
    <row r="10" spans="1:42" ht="12" x14ac:dyDescent="0.2">
      <c r="B10" s="44" t="s">
        <v>4</v>
      </c>
      <c r="C10" s="194"/>
      <c r="D10" s="193"/>
      <c r="E10" s="195"/>
      <c r="F10" s="261"/>
      <c r="G10" s="194"/>
      <c r="H10" s="193"/>
      <c r="I10" s="195"/>
      <c r="J10" s="261"/>
      <c r="K10" s="194"/>
      <c r="L10" s="261"/>
      <c r="M10" s="194"/>
      <c r="N10" s="193"/>
      <c r="O10" s="195"/>
      <c r="P10" s="193"/>
      <c r="Q10" s="195"/>
      <c r="R10" s="193"/>
      <c r="S10" s="195"/>
      <c r="T10" s="193"/>
      <c r="U10" s="195"/>
      <c r="V10" s="193"/>
      <c r="W10" s="195"/>
      <c r="X10" s="193"/>
      <c r="Y10" s="195"/>
      <c r="Z10" s="193"/>
      <c r="AB10" s="649"/>
      <c r="AC10" s="272"/>
    </row>
    <row r="11" spans="1:42" ht="12" x14ac:dyDescent="0.2">
      <c r="B11" s="285" t="s">
        <v>96</v>
      </c>
      <c r="C11" s="68"/>
      <c r="D11" s="97"/>
      <c r="E11" s="98"/>
      <c r="F11" s="99"/>
      <c r="G11" s="68"/>
      <c r="H11" s="97"/>
      <c r="I11" s="98"/>
      <c r="J11" s="99"/>
      <c r="K11" s="68"/>
      <c r="L11" s="99"/>
      <c r="M11" s="68"/>
      <c r="N11" s="97"/>
      <c r="O11" s="98"/>
      <c r="P11" s="97"/>
      <c r="Q11" s="98"/>
      <c r="R11" s="97"/>
      <c r="S11" s="98"/>
      <c r="T11" s="97"/>
      <c r="U11" s="98"/>
      <c r="V11" s="97"/>
      <c r="W11" s="98"/>
      <c r="X11" s="97"/>
      <c r="Y11" s="98"/>
      <c r="Z11" s="97"/>
      <c r="AB11" s="649"/>
      <c r="AC11" s="272"/>
    </row>
    <row r="12" spans="1:42" ht="12" x14ac:dyDescent="0.2">
      <c r="B12" s="96" t="s">
        <v>134</v>
      </c>
      <c r="C12" s="278">
        <v>149</v>
      </c>
      <c r="D12" s="102">
        <v>31</v>
      </c>
      <c r="E12" s="384">
        <f>159+26</f>
        <v>185</v>
      </c>
      <c r="F12" s="101">
        <v>36</v>
      </c>
      <c r="G12" s="278">
        <v>204</v>
      </c>
      <c r="H12" s="305">
        <v>30</v>
      </c>
      <c r="I12" s="384">
        <v>235</v>
      </c>
      <c r="J12" s="101">
        <v>47</v>
      </c>
      <c r="K12" s="278">
        <v>229</v>
      </c>
      <c r="L12" s="101">
        <f>49+1</f>
        <v>50</v>
      </c>
      <c r="M12" s="278">
        <f>196+42</f>
        <v>238</v>
      </c>
      <c r="N12" s="305">
        <v>57</v>
      </c>
      <c r="O12" s="384">
        <f>201+42</f>
        <v>243</v>
      </c>
      <c r="P12" s="305">
        <v>48</v>
      </c>
      <c r="Q12" s="384">
        <v>249</v>
      </c>
      <c r="R12" s="305">
        <v>65</v>
      </c>
      <c r="S12" s="384">
        <v>258</v>
      </c>
      <c r="T12" s="305">
        <v>56</v>
      </c>
      <c r="U12" s="384">
        <v>281</v>
      </c>
      <c r="V12" s="305">
        <v>67</v>
      </c>
      <c r="W12" s="384">
        <v>278</v>
      </c>
      <c r="X12" s="305">
        <v>77</v>
      </c>
      <c r="Y12" s="384">
        <v>277</v>
      </c>
      <c r="Z12" s="1002"/>
      <c r="AB12" s="666">
        <f>AVERAGE(W12,U12,S12,Q12,Y12)</f>
        <v>268.60000000000002</v>
      </c>
      <c r="AC12" s="675">
        <f>AVERAGE(X12,V12,T12,R12,Z12)</f>
        <v>66.25</v>
      </c>
    </row>
    <row r="13" spans="1:42" ht="12" x14ac:dyDescent="0.2">
      <c r="B13" s="287" t="s">
        <v>97</v>
      </c>
      <c r="C13" s="278"/>
      <c r="D13" s="102"/>
      <c r="E13" s="384"/>
      <c r="F13" s="101"/>
      <c r="G13" s="278"/>
      <c r="H13" s="305"/>
      <c r="I13" s="384"/>
      <c r="J13" s="101"/>
      <c r="K13" s="278"/>
      <c r="L13" s="101"/>
      <c r="M13" s="278"/>
      <c r="N13" s="305"/>
      <c r="O13" s="384"/>
      <c r="P13" s="305"/>
      <c r="Q13" s="384"/>
      <c r="R13" s="305"/>
      <c r="S13" s="384"/>
      <c r="T13" s="305"/>
      <c r="U13" s="384"/>
      <c r="V13" s="305"/>
      <c r="W13" s="384"/>
      <c r="X13" s="305"/>
      <c r="Y13" s="384"/>
      <c r="Z13" s="1002"/>
      <c r="AB13" s="666"/>
      <c r="AC13" s="675"/>
    </row>
    <row r="14" spans="1:42" ht="12" x14ac:dyDescent="0.2">
      <c r="B14" s="96" t="s">
        <v>98</v>
      </c>
      <c r="C14" s="708"/>
      <c r="D14" s="214"/>
      <c r="E14" s="709"/>
      <c r="F14" s="710"/>
      <c r="G14" s="708"/>
      <c r="H14" s="341"/>
      <c r="I14" s="709"/>
      <c r="J14" s="710"/>
      <c r="K14" s="708"/>
      <c r="L14" s="710"/>
      <c r="M14" s="278">
        <v>0</v>
      </c>
      <c r="N14" s="305">
        <v>0</v>
      </c>
      <c r="O14" s="384">
        <v>1</v>
      </c>
      <c r="P14" s="305">
        <v>0</v>
      </c>
      <c r="Q14" s="384">
        <v>8</v>
      </c>
      <c r="R14" s="305">
        <v>0</v>
      </c>
      <c r="S14" s="384">
        <v>18</v>
      </c>
      <c r="T14" s="305">
        <v>3</v>
      </c>
      <c r="U14" s="384">
        <v>22</v>
      </c>
      <c r="V14" s="305">
        <v>8</v>
      </c>
      <c r="W14" s="384">
        <v>14</v>
      </c>
      <c r="X14" s="305">
        <v>4</v>
      </c>
      <c r="Y14" s="384">
        <v>26</v>
      </c>
      <c r="Z14" s="1002"/>
      <c r="AB14" s="666">
        <f t="shared" ref="AB14:AC14" si="0">AVERAGE(W14,U14,S14,Q14,Y14)</f>
        <v>17.600000000000001</v>
      </c>
      <c r="AC14" s="675">
        <f t="shared" si="0"/>
        <v>3.75</v>
      </c>
    </row>
    <row r="15" spans="1:42" ht="12" x14ac:dyDescent="0.2">
      <c r="B15" s="285" t="s">
        <v>183</v>
      </c>
      <c r="C15" s="278"/>
      <c r="D15" s="102"/>
      <c r="E15" s="384"/>
      <c r="F15" s="262"/>
      <c r="G15" s="278"/>
      <c r="H15" s="102"/>
      <c r="I15" s="384"/>
      <c r="J15" s="262"/>
      <c r="K15" s="278"/>
      <c r="L15" s="262"/>
      <c r="M15" s="278"/>
      <c r="N15" s="102"/>
      <c r="O15" s="384"/>
      <c r="P15" s="102"/>
      <c r="Q15" s="384"/>
      <c r="R15" s="102"/>
      <c r="S15" s="384"/>
      <c r="T15" s="102"/>
      <c r="U15" s="384"/>
      <c r="V15" s="102"/>
      <c r="W15" s="384"/>
      <c r="X15" s="102"/>
      <c r="Y15" s="384"/>
      <c r="Z15" s="1025"/>
      <c r="AB15" s="619"/>
      <c r="AC15" s="675"/>
    </row>
    <row r="16" spans="1:42" ht="12" x14ac:dyDescent="0.2">
      <c r="B16" s="45" t="s">
        <v>134</v>
      </c>
      <c r="C16" s="278">
        <v>233</v>
      </c>
      <c r="D16" s="102">
        <v>40</v>
      </c>
      <c r="E16" s="384">
        <f>255+1</f>
        <v>256</v>
      </c>
      <c r="F16" s="101">
        <v>49</v>
      </c>
      <c r="G16" s="278">
        <v>297</v>
      </c>
      <c r="H16" s="305">
        <v>53</v>
      </c>
      <c r="I16" s="384">
        <v>340</v>
      </c>
      <c r="J16" s="101">
        <f>24+26</f>
        <v>50</v>
      </c>
      <c r="K16" s="278">
        <v>318</v>
      </c>
      <c r="L16" s="101">
        <v>61</v>
      </c>
      <c r="M16" s="278">
        <f>272+3</f>
        <v>275</v>
      </c>
      <c r="N16" s="305">
        <v>67</v>
      </c>
      <c r="O16" s="384">
        <f>239+3</f>
        <v>242</v>
      </c>
      <c r="P16" s="305">
        <v>49</v>
      </c>
      <c r="Q16" s="384">
        <v>254</v>
      </c>
      <c r="R16" s="305">
        <v>53</v>
      </c>
      <c r="S16" s="384">
        <v>267</v>
      </c>
      <c r="T16" s="305">
        <v>50</v>
      </c>
      <c r="U16" s="384">
        <v>260</v>
      </c>
      <c r="V16" s="305">
        <v>56</v>
      </c>
      <c r="W16" s="384">
        <v>267</v>
      </c>
      <c r="X16" s="305">
        <v>57</v>
      </c>
      <c r="Y16" s="384">
        <v>275</v>
      </c>
      <c r="Z16" s="1002"/>
      <c r="AB16" s="666">
        <f t="shared" ref="AB16:AB17" si="1">AVERAGE(W16,U16,S16,Q16,Y16)</f>
        <v>264.60000000000002</v>
      </c>
      <c r="AC16" s="675">
        <f t="shared" ref="AC16:AC17" si="2">AVERAGE(X16,V16,T16,R16,Z16)</f>
        <v>54</v>
      </c>
    </row>
    <row r="17" spans="1:31" ht="12" x14ac:dyDescent="0.2">
      <c r="B17" s="45" t="s">
        <v>165</v>
      </c>
      <c r="C17" s="279"/>
      <c r="D17" s="348"/>
      <c r="E17" s="385"/>
      <c r="F17" s="360"/>
      <c r="G17" s="922"/>
      <c r="H17" s="944"/>
      <c r="I17" s="967"/>
      <c r="J17" s="968"/>
      <c r="K17" s="969"/>
      <c r="L17" s="968"/>
      <c r="M17" s="969"/>
      <c r="N17" s="948"/>
      <c r="O17" s="967"/>
      <c r="P17" s="948"/>
      <c r="Q17" s="967"/>
      <c r="R17" s="948"/>
      <c r="S17" s="385">
        <v>2</v>
      </c>
      <c r="T17" s="711">
        <v>2</v>
      </c>
      <c r="U17" s="385">
        <v>13</v>
      </c>
      <c r="V17" s="711">
        <v>1</v>
      </c>
      <c r="W17" s="385">
        <v>23</v>
      </c>
      <c r="X17" s="711">
        <v>6</v>
      </c>
      <c r="Y17" s="385">
        <v>32</v>
      </c>
      <c r="Z17" s="1027"/>
      <c r="AB17" s="666">
        <f t="shared" si="1"/>
        <v>17.5</v>
      </c>
      <c r="AC17" s="675">
        <f t="shared" si="2"/>
        <v>3</v>
      </c>
    </row>
    <row r="18" spans="1:31" ht="12" x14ac:dyDescent="0.2">
      <c r="B18" s="285" t="s">
        <v>193</v>
      </c>
      <c r="C18" s="279"/>
      <c r="D18" s="348"/>
      <c r="E18" s="385"/>
      <c r="F18" s="360"/>
      <c r="G18" s="279"/>
      <c r="H18" s="711"/>
      <c r="I18" s="385"/>
      <c r="J18" s="360"/>
      <c r="K18" s="279"/>
      <c r="L18" s="360"/>
      <c r="M18" s="279"/>
      <c r="N18" s="711"/>
      <c r="O18" s="385"/>
      <c r="P18" s="711"/>
      <c r="Q18" s="385"/>
      <c r="R18" s="711"/>
      <c r="S18" s="385"/>
      <c r="T18" s="711"/>
      <c r="U18" s="385"/>
      <c r="V18" s="711"/>
      <c r="W18" s="385"/>
      <c r="X18" s="711"/>
      <c r="Y18" s="385"/>
      <c r="Z18" s="1027"/>
      <c r="AB18" s="619"/>
      <c r="AC18" s="675"/>
    </row>
    <row r="19" spans="1:31" thickBot="1" x14ac:dyDescent="0.25">
      <c r="B19" s="46" t="s">
        <v>98</v>
      </c>
      <c r="C19" s="264">
        <v>11</v>
      </c>
      <c r="D19" s="204">
        <v>5</v>
      </c>
      <c r="E19" s="191">
        <v>3</v>
      </c>
      <c r="F19" s="522">
        <v>2</v>
      </c>
      <c r="G19" s="264">
        <v>4</v>
      </c>
      <c r="H19" s="712">
        <v>1</v>
      </c>
      <c r="I19" s="191">
        <v>5</v>
      </c>
      <c r="J19" s="522">
        <v>3</v>
      </c>
      <c r="K19" s="264">
        <v>3</v>
      </c>
      <c r="L19" s="522">
        <v>1</v>
      </c>
      <c r="M19" s="264">
        <v>5</v>
      </c>
      <c r="N19" s="712">
        <v>0</v>
      </c>
      <c r="O19" s="191">
        <v>6</v>
      </c>
      <c r="P19" s="712">
        <v>3</v>
      </c>
      <c r="Q19" s="191">
        <v>8</v>
      </c>
      <c r="R19" s="712">
        <v>3</v>
      </c>
      <c r="S19" s="191">
        <v>11</v>
      </c>
      <c r="T19" s="712">
        <v>2</v>
      </c>
      <c r="U19" s="191">
        <v>11</v>
      </c>
      <c r="V19" s="712">
        <v>4</v>
      </c>
      <c r="W19" s="191">
        <v>6</v>
      </c>
      <c r="X19" s="712">
        <v>4</v>
      </c>
      <c r="Y19" s="191">
        <v>7</v>
      </c>
      <c r="Z19" s="1024"/>
      <c r="AB19" s="676">
        <f t="shared" ref="AB19:AC19" si="3">AVERAGE(W19,U19,S19,Q19,Y19)</f>
        <v>8.6</v>
      </c>
      <c r="AC19" s="970">
        <f t="shared" si="3"/>
        <v>3.25</v>
      </c>
      <c r="AD19" s="523"/>
    </row>
    <row r="20" spans="1:31" thickTop="1" x14ac:dyDescent="0.2">
      <c r="B20" s="64" t="s">
        <v>102</v>
      </c>
      <c r="C20" s="202"/>
      <c r="D20" s="201"/>
      <c r="E20" s="202"/>
      <c r="F20" s="203"/>
      <c r="G20" s="202"/>
      <c r="H20" s="203"/>
      <c r="I20" s="202"/>
      <c r="J20" s="203"/>
      <c r="K20" s="202"/>
      <c r="L20" s="203"/>
      <c r="M20" s="202"/>
      <c r="N20" s="203"/>
      <c r="O20" s="202"/>
      <c r="P20" s="203"/>
      <c r="Q20" s="202"/>
      <c r="R20" s="203"/>
      <c r="S20" s="202"/>
      <c r="T20" s="203"/>
      <c r="U20" s="202"/>
      <c r="V20" s="203"/>
      <c r="W20" s="202"/>
      <c r="X20" s="203"/>
      <c r="Y20" s="202"/>
      <c r="Z20" s="203"/>
    </row>
    <row r="21" spans="1:31" thickBot="1" x14ac:dyDescent="0.25">
      <c r="C21" s="1"/>
      <c r="D21" s="1"/>
      <c r="E21" s="1"/>
      <c r="F21" s="1"/>
      <c r="G21" s="95"/>
      <c r="H21" s="95"/>
      <c r="I21" s="95"/>
      <c r="J21" s="95"/>
      <c r="K21" s="95"/>
      <c r="L21" s="95"/>
      <c r="M21" s="95"/>
      <c r="N21" s="95"/>
      <c r="O21" s="95"/>
      <c r="P21" s="95"/>
      <c r="Q21" s="95"/>
      <c r="R21" s="95"/>
      <c r="S21" s="95"/>
      <c r="T21" s="95"/>
      <c r="U21" s="95"/>
      <c r="V21" s="95"/>
      <c r="W21" s="95"/>
      <c r="X21" s="95"/>
      <c r="Y21" s="95"/>
      <c r="Z21" s="95"/>
    </row>
    <row r="22" spans="1:31" ht="14.25" customHeight="1" thickTop="1" thickBot="1" x14ac:dyDescent="0.25">
      <c r="B22" s="415"/>
      <c r="C22" s="1292" t="s">
        <v>27</v>
      </c>
      <c r="D22" s="1293"/>
      <c r="E22" s="1294" t="s">
        <v>28</v>
      </c>
      <c r="F22" s="1294"/>
      <c r="G22" s="1286" t="s">
        <v>83</v>
      </c>
      <c r="H22" s="1255"/>
      <c r="I22" s="1322" t="s">
        <v>93</v>
      </c>
      <c r="J22" s="1323"/>
      <c r="K22" s="1322" t="s">
        <v>94</v>
      </c>
      <c r="L22" s="1323"/>
      <c r="M22" s="1322" t="s">
        <v>100</v>
      </c>
      <c r="N22" s="1319"/>
      <c r="O22" s="1318" t="s">
        <v>143</v>
      </c>
      <c r="P22" s="1319"/>
      <c r="Q22" s="1318" t="s">
        <v>149</v>
      </c>
      <c r="R22" s="1319"/>
      <c r="S22" s="1318" t="s">
        <v>167</v>
      </c>
      <c r="T22" s="1319"/>
      <c r="U22" s="1318" t="s">
        <v>181</v>
      </c>
      <c r="V22" s="1319"/>
      <c r="W22" s="1318" t="s">
        <v>194</v>
      </c>
      <c r="X22" s="1319"/>
      <c r="Y22" s="1318" t="s">
        <v>203</v>
      </c>
      <c r="Z22" s="1319"/>
      <c r="AB22" s="1259" t="s">
        <v>133</v>
      </c>
      <c r="AC22" s="1260"/>
    </row>
    <row r="23" spans="1:31" ht="12" x14ac:dyDescent="0.2">
      <c r="B23" s="44" t="s">
        <v>8</v>
      </c>
      <c r="C23" s="129"/>
      <c r="D23" s="130"/>
      <c r="E23" s="31"/>
      <c r="F23" s="31"/>
      <c r="G23" s="229"/>
      <c r="H23" s="326"/>
      <c r="I23" s="301"/>
      <c r="J23" s="301"/>
      <c r="K23" s="229"/>
      <c r="L23" s="301"/>
      <c r="M23" s="229"/>
      <c r="N23" s="326"/>
      <c r="O23" s="301"/>
      <c r="P23" s="326"/>
      <c r="Q23" s="301"/>
      <c r="R23" s="326"/>
      <c r="S23" s="301"/>
      <c r="T23" s="326"/>
      <c r="U23" s="301"/>
      <c r="V23" s="326"/>
      <c r="W23" s="301"/>
      <c r="X23" s="326"/>
      <c r="Y23" s="301"/>
      <c r="Z23" s="326"/>
      <c r="AB23" s="639"/>
      <c r="AC23" s="638"/>
    </row>
    <row r="24" spans="1:31" ht="12" x14ac:dyDescent="0.2">
      <c r="B24" s="48" t="s">
        <v>9</v>
      </c>
      <c r="C24" s="131"/>
      <c r="D24" s="132"/>
      <c r="E24" s="32"/>
      <c r="F24" s="32"/>
      <c r="G24" s="209"/>
      <c r="H24" s="313"/>
      <c r="I24" s="284"/>
      <c r="J24" s="284"/>
      <c r="K24" s="209"/>
      <c r="L24" s="284"/>
      <c r="M24" s="209"/>
      <c r="N24" s="313"/>
      <c r="O24" s="284"/>
      <c r="P24" s="313"/>
      <c r="Q24" s="284"/>
      <c r="R24" s="313"/>
      <c r="S24" s="284"/>
      <c r="T24" s="313"/>
      <c r="U24" s="284"/>
      <c r="V24" s="313"/>
      <c r="W24" s="284"/>
      <c r="X24" s="313"/>
      <c r="Y24" s="284"/>
      <c r="Z24" s="313"/>
      <c r="AB24" s="523"/>
      <c r="AC24" s="272"/>
    </row>
    <row r="25" spans="1:31" ht="12" x14ac:dyDescent="0.2">
      <c r="B25" s="48" t="s">
        <v>10</v>
      </c>
      <c r="C25" s="131"/>
      <c r="D25" s="133">
        <v>909</v>
      </c>
      <c r="E25" s="32"/>
      <c r="F25" s="52">
        <v>1111</v>
      </c>
      <c r="G25" s="209"/>
      <c r="H25" s="305">
        <v>1164</v>
      </c>
      <c r="I25" s="284"/>
      <c r="J25" s="101">
        <v>1167</v>
      </c>
      <c r="K25" s="209"/>
      <c r="L25" s="101">
        <v>1126</v>
      </c>
      <c r="M25" s="209"/>
      <c r="N25" s="305">
        <v>1045</v>
      </c>
      <c r="O25" s="284"/>
      <c r="P25" s="305">
        <v>1150</v>
      </c>
      <c r="Q25" s="284"/>
      <c r="R25" s="305">
        <v>1176</v>
      </c>
      <c r="S25" s="284"/>
      <c r="T25" s="305">
        <v>1692</v>
      </c>
      <c r="U25" s="284"/>
      <c r="V25" s="305">
        <v>1816</v>
      </c>
      <c r="W25" s="284"/>
      <c r="X25" s="305">
        <v>1926</v>
      </c>
      <c r="Y25" s="284"/>
      <c r="Z25" s="1002"/>
      <c r="AB25" s="614"/>
      <c r="AC25" s="650">
        <f t="shared" ref="AC25:AC29" si="4">AVERAGE(X25,V25,T25,R25,Z25)</f>
        <v>1652.5</v>
      </c>
    </row>
    <row r="26" spans="1:31" ht="12" x14ac:dyDescent="0.2">
      <c r="B26" s="48" t="s">
        <v>11</v>
      </c>
      <c r="C26" s="131"/>
      <c r="D26" s="133">
        <v>3236</v>
      </c>
      <c r="E26" s="32"/>
      <c r="F26" s="52">
        <v>3431</v>
      </c>
      <c r="G26" s="209"/>
      <c r="H26" s="305">
        <v>3997</v>
      </c>
      <c r="I26" s="284"/>
      <c r="J26" s="101">
        <v>4259</v>
      </c>
      <c r="K26" s="209"/>
      <c r="L26" s="101">
        <v>4371</v>
      </c>
      <c r="M26" s="209"/>
      <c r="N26" s="305">
        <v>4184</v>
      </c>
      <c r="O26" s="284"/>
      <c r="P26" s="305">
        <v>3996</v>
      </c>
      <c r="Q26" s="284"/>
      <c r="R26" s="305">
        <v>4291</v>
      </c>
      <c r="S26" s="284"/>
      <c r="T26" s="305">
        <v>4758</v>
      </c>
      <c r="U26" s="284"/>
      <c r="V26" s="305">
        <v>5280</v>
      </c>
      <c r="W26" s="284"/>
      <c r="X26" s="305">
        <v>5281</v>
      </c>
      <c r="Y26" s="284"/>
      <c r="Z26" s="1002"/>
      <c r="AB26" s="636"/>
      <c r="AC26" s="650">
        <f t="shared" si="4"/>
        <v>4902.5</v>
      </c>
    </row>
    <row r="27" spans="1:31" ht="12" x14ac:dyDescent="0.2">
      <c r="B27" s="48" t="s">
        <v>12</v>
      </c>
      <c r="C27" s="131"/>
      <c r="D27" s="133">
        <v>86</v>
      </c>
      <c r="E27" s="32"/>
      <c r="F27" s="52">
        <v>68</v>
      </c>
      <c r="G27" s="209"/>
      <c r="H27" s="305">
        <v>101</v>
      </c>
      <c r="I27" s="284"/>
      <c r="J27" s="101">
        <v>83</v>
      </c>
      <c r="K27" s="209"/>
      <c r="L27" s="101">
        <v>57</v>
      </c>
      <c r="M27" s="209"/>
      <c r="N27" s="305">
        <v>125</v>
      </c>
      <c r="O27" s="284"/>
      <c r="P27" s="305">
        <v>152</v>
      </c>
      <c r="Q27" s="284"/>
      <c r="R27" s="305">
        <v>256</v>
      </c>
      <c r="S27" s="284"/>
      <c r="T27" s="305">
        <v>329</v>
      </c>
      <c r="U27" s="284"/>
      <c r="V27" s="305">
        <v>279</v>
      </c>
      <c r="W27" s="284"/>
      <c r="X27" s="305">
        <v>215</v>
      </c>
      <c r="Y27" s="284"/>
      <c r="Z27" s="1002"/>
      <c r="AB27" s="636"/>
      <c r="AC27" s="650">
        <f t="shared" si="4"/>
        <v>269.75</v>
      </c>
    </row>
    <row r="28" spans="1:31" ht="12" x14ac:dyDescent="0.2">
      <c r="B28" s="48" t="s">
        <v>13</v>
      </c>
      <c r="C28" s="131"/>
      <c r="D28" s="133">
        <v>162</v>
      </c>
      <c r="E28" s="32"/>
      <c r="F28" s="52">
        <v>186</v>
      </c>
      <c r="G28" s="209"/>
      <c r="H28" s="305">
        <v>208</v>
      </c>
      <c r="I28" s="284"/>
      <c r="J28" s="101">
        <v>188</v>
      </c>
      <c r="K28" s="209"/>
      <c r="L28" s="101">
        <v>138</v>
      </c>
      <c r="M28" s="209"/>
      <c r="N28" s="305">
        <v>108</v>
      </c>
      <c r="O28" s="284"/>
      <c r="P28" s="305">
        <v>145</v>
      </c>
      <c r="Q28" s="284"/>
      <c r="R28" s="305">
        <v>216</v>
      </c>
      <c r="S28" s="284"/>
      <c r="T28" s="305">
        <v>164</v>
      </c>
      <c r="U28" s="284"/>
      <c r="V28" s="305">
        <v>112</v>
      </c>
      <c r="W28" s="284"/>
      <c r="X28" s="305">
        <v>77</v>
      </c>
      <c r="Y28" s="284"/>
      <c r="Z28" s="1002"/>
      <c r="AB28" s="636"/>
      <c r="AC28" s="650">
        <f t="shared" si="4"/>
        <v>142.25</v>
      </c>
    </row>
    <row r="29" spans="1:31" thickBot="1" x14ac:dyDescent="0.25">
      <c r="B29" s="832" t="s">
        <v>14</v>
      </c>
      <c r="C29" s="134"/>
      <c r="D29" s="135">
        <f>SUM(D25:D28)</f>
        <v>4393</v>
      </c>
      <c r="E29" s="57"/>
      <c r="F29" s="55">
        <f>SUM(F25:F28)</f>
        <v>4796</v>
      </c>
      <c r="G29" s="213"/>
      <c r="H29" s="306">
        <f>SUM(H25:H28)</f>
        <v>5470</v>
      </c>
      <c r="I29" s="438"/>
      <c r="J29" s="361">
        <f>SUM(J25:J28)</f>
        <v>5697</v>
      </c>
      <c r="K29" s="213"/>
      <c r="L29" s="364">
        <f>SUM(L25:L28)</f>
        <v>5692</v>
      </c>
      <c r="M29" s="213"/>
      <c r="N29" s="306">
        <f>SUM(N25:N28)</f>
        <v>5462</v>
      </c>
      <c r="O29" s="302"/>
      <c r="P29" s="306">
        <f>SUM(P25:P28)</f>
        <v>5443</v>
      </c>
      <c r="Q29" s="302"/>
      <c r="R29" s="306">
        <f>SUM(R25:R28)</f>
        <v>5939</v>
      </c>
      <c r="S29" s="302"/>
      <c r="T29" s="306">
        <f>SUM(T25:T28)</f>
        <v>6943</v>
      </c>
      <c r="U29" s="302"/>
      <c r="V29" s="306">
        <f>SUM(V25:V28)</f>
        <v>7487</v>
      </c>
      <c r="W29" s="302"/>
      <c r="X29" s="306">
        <f>SUM(X25:X28)</f>
        <v>7499</v>
      </c>
      <c r="Y29" s="302"/>
      <c r="Z29" s="1020"/>
      <c r="AB29" s="523"/>
      <c r="AC29" s="749">
        <f t="shared" si="4"/>
        <v>6967</v>
      </c>
      <c r="AD29" s="809"/>
    </row>
    <row r="30" spans="1:31" ht="14.25" thickTop="1" thickBot="1" x14ac:dyDescent="0.25">
      <c r="A30" s="272"/>
      <c r="B30" s="601" t="s">
        <v>124</v>
      </c>
      <c r="C30" s="1282" t="s">
        <v>29</v>
      </c>
      <c r="D30" s="1295"/>
      <c r="E30" s="1282" t="s">
        <v>30</v>
      </c>
      <c r="F30" s="1295"/>
      <c r="G30" s="1280" t="s">
        <v>120</v>
      </c>
      <c r="H30" s="1253"/>
      <c r="I30" s="1280" t="s">
        <v>121</v>
      </c>
      <c r="J30" s="1291"/>
      <c r="K30" s="1280" t="s">
        <v>122</v>
      </c>
      <c r="L30" s="1291"/>
      <c r="M30" s="1269" t="s">
        <v>123</v>
      </c>
      <c r="N30" s="1253"/>
      <c r="O30" s="1252" t="s">
        <v>144</v>
      </c>
      <c r="P30" s="1253"/>
      <c r="Q30" s="1252" t="s">
        <v>150</v>
      </c>
      <c r="R30" s="1253"/>
      <c r="S30" s="1252" t="s">
        <v>164</v>
      </c>
      <c r="T30" s="1253"/>
      <c r="U30" s="1252" t="s">
        <v>182</v>
      </c>
      <c r="V30" s="1253"/>
      <c r="W30" s="1252" t="s">
        <v>195</v>
      </c>
      <c r="X30" s="1253"/>
      <c r="Y30" s="1252" t="s">
        <v>204</v>
      </c>
      <c r="Z30" s="1253"/>
      <c r="AA30" s="536"/>
      <c r="AB30" s="1325"/>
      <c r="AC30" s="1326"/>
      <c r="AD30" s="283"/>
      <c r="AE30" s="283"/>
    </row>
    <row r="31" spans="1:31" x14ac:dyDescent="0.2">
      <c r="A31" s="272"/>
      <c r="B31" s="577" t="s">
        <v>107</v>
      </c>
      <c r="C31" s="1297">
        <v>0.69499999999999995</v>
      </c>
      <c r="D31" s="1298"/>
      <c r="E31" s="1299">
        <v>0.747</v>
      </c>
      <c r="F31" s="1300"/>
      <c r="G31" s="1287">
        <v>0.75900000000000001</v>
      </c>
      <c r="H31" s="1288"/>
      <c r="I31" s="1287">
        <v>0.80400000000000005</v>
      </c>
      <c r="J31" s="1288"/>
      <c r="K31" s="578"/>
      <c r="L31" s="579">
        <v>0.79400000000000004</v>
      </c>
      <c r="M31" s="580"/>
      <c r="N31" s="796">
        <v>0.76300000000000001</v>
      </c>
      <c r="O31" s="794"/>
      <c r="P31" s="796">
        <v>0.70799999999999996</v>
      </c>
      <c r="Q31" s="895"/>
      <c r="R31" s="796">
        <v>0.71799999999999997</v>
      </c>
      <c r="S31" s="895"/>
      <c r="T31" s="796">
        <v>0.73299999999999998</v>
      </c>
      <c r="U31" s="895"/>
      <c r="V31" s="796">
        <v>0.73599999999999999</v>
      </c>
      <c r="W31" s="895"/>
      <c r="X31" s="796">
        <v>0.71699999999999997</v>
      </c>
      <c r="Y31" s="895"/>
      <c r="Z31" s="796">
        <v>0.71499999999999997</v>
      </c>
      <c r="AA31" s="844"/>
      <c r="AB31" s="651"/>
      <c r="AC31" s="998">
        <f t="shared" ref="AC31:AC32" si="5">AVERAGE(X31,V31,T31,R31,Z31)</f>
        <v>0.7238</v>
      </c>
      <c r="AD31" s="283"/>
      <c r="AE31" s="283"/>
    </row>
    <row r="32" spans="1:31" x14ac:dyDescent="0.2">
      <c r="A32" s="272"/>
      <c r="B32" s="582" t="s">
        <v>108</v>
      </c>
      <c r="C32" s="1301">
        <v>1.9E-2</v>
      </c>
      <c r="D32" s="1300"/>
      <c r="E32" s="1274">
        <v>8.0000000000000002E-3</v>
      </c>
      <c r="F32" s="1275"/>
      <c r="G32" s="1276">
        <v>6.0000000000000001E-3</v>
      </c>
      <c r="H32" s="1277"/>
      <c r="I32" s="1276">
        <v>8.9999999999999993E-3</v>
      </c>
      <c r="J32" s="1277"/>
      <c r="K32" s="583"/>
      <c r="L32" s="584">
        <v>7.0000000000000001E-3</v>
      </c>
      <c r="M32" s="583"/>
      <c r="N32" s="797">
        <v>0.01</v>
      </c>
      <c r="O32" s="795"/>
      <c r="P32" s="797">
        <v>7.0000000000000001E-3</v>
      </c>
      <c r="Q32" s="896"/>
      <c r="R32" s="797">
        <v>1.6E-2</v>
      </c>
      <c r="S32" s="896"/>
      <c r="T32" s="797">
        <v>2.5000000000000001E-2</v>
      </c>
      <c r="U32" s="896"/>
      <c r="V32" s="797">
        <v>2.5000000000000001E-2</v>
      </c>
      <c r="W32" s="896"/>
      <c r="X32" s="797">
        <v>1.2999999999999999E-2</v>
      </c>
      <c r="Y32" s="896"/>
      <c r="Z32" s="797">
        <v>2.1999999999999999E-2</v>
      </c>
      <c r="AA32" s="844"/>
      <c r="AB32" s="652"/>
      <c r="AC32" s="585">
        <f t="shared" si="5"/>
        <v>2.0200000000000003E-2</v>
      </c>
      <c r="AD32" s="283"/>
      <c r="AE32" s="283"/>
    </row>
    <row r="33" spans="1:31" ht="13.5" thickBot="1" x14ac:dyDescent="0.25">
      <c r="B33" s="586" t="s">
        <v>109</v>
      </c>
      <c r="C33" s="1257">
        <f>1-SUM(C31:D32)</f>
        <v>0.28600000000000003</v>
      </c>
      <c r="D33" s="1296"/>
      <c r="E33" s="1257">
        <f>1-SUM(E31:F32)</f>
        <v>0.245</v>
      </c>
      <c r="F33" s="1258"/>
      <c r="G33" s="1257">
        <f>1-SUM(G31:H32)</f>
        <v>0.23499999999999999</v>
      </c>
      <c r="H33" s="1258"/>
      <c r="I33" s="1257">
        <f>1-SUM(I31:J32)</f>
        <v>0.18699999999999994</v>
      </c>
      <c r="J33" s="1258"/>
      <c r="K33" s="587"/>
      <c r="L33" s="590">
        <f>1-SUM(L31:L32)</f>
        <v>0.19899999999999995</v>
      </c>
      <c r="M33" s="587"/>
      <c r="N33" s="590">
        <f>1-SUM(N31:N32)</f>
        <v>0.22699999999999998</v>
      </c>
      <c r="O33" s="587"/>
      <c r="P33" s="590">
        <f>1-SUM(P31:P32)</f>
        <v>0.28500000000000003</v>
      </c>
      <c r="Q33" s="897"/>
      <c r="R33" s="898">
        <f>1-R31-R32</f>
        <v>0.26600000000000001</v>
      </c>
      <c r="S33" s="897"/>
      <c r="T33" s="898">
        <f>1-T31-T32</f>
        <v>0.24200000000000002</v>
      </c>
      <c r="U33" s="897"/>
      <c r="V33" s="898">
        <f>1-V31-V32</f>
        <v>0.23900000000000002</v>
      </c>
      <c r="W33" s="897"/>
      <c r="X33" s="898">
        <f>1-X31-X32</f>
        <v>0.27</v>
      </c>
      <c r="Y33" s="897"/>
      <c r="Z33" s="898">
        <f>1-Z31-Z32</f>
        <v>0.26300000000000001</v>
      </c>
      <c r="AA33" s="844"/>
      <c r="AB33" s="588"/>
      <c r="AC33" s="589">
        <f>AVERAGE(X33,V33,T33,R33,Z33)</f>
        <v>0.25599999999999995</v>
      </c>
      <c r="AD33" s="283"/>
      <c r="AE33" s="283"/>
    </row>
    <row r="34" spans="1:31" thickTop="1" x14ac:dyDescent="0.2">
      <c r="B34" s="83"/>
      <c r="C34" s="84"/>
      <c r="D34" s="85"/>
      <c r="E34" s="84"/>
      <c r="F34" s="85"/>
      <c r="G34" s="235"/>
      <c r="H34" s="236"/>
      <c r="I34" s="235"/>
      <c r="J34" s="236"/>
      <c r="K34" s="235"/>
      <c r="L34" s="236"/>
      <c r="M34" s="235"/>
      <c r="N34" s="236"/>
      <c r="O34" s="235"/>
      <c r="P34" s="236"/>
      <c r="Q34" s="235"/>
      <c r="R34" s="236"/>
      <c r="S34" s="235"/>
      <c r="T34" s="236"/>
      <c r="U34" s="235"/>
      <c r="V34" s="236"/>
      <c r="W34" s="235"/>
      <c r="X34" s="236"/>
      <c r="Y34" s="235"/>
      <c r="Z34" s="236"/>
    </row>
    <row r="35" spans="1:31" x14ac:dyDescent="0.2">
      <c r="A35" s="86" t="s">
        <v>37</v>
      </c>
      <c r="B35" s="70"/>
      <c r="C35" s="4"/>
      <c r="D35" s="4"/>
      <c r="E35" s="4"/>
      <c r="F35" s="4"/>
      <c r="G35" s="202"/>
      <c r="H35" s="202"/>
      <c r="I35" s="202"/>
      <c r="J35" s="202"/>
      <c r="K35" s="202"/>
      <c r="L35" s="202"/>
      <c r="M35" s="202"/>
      <c r="N35" s="202"/>
      <c r="O35" s="202"/>
      <c r="P35" s="202"/>
      <c r="Q35" s="202"/>
      <c r="R35" s="202"/>
      <c r="S35" s="202"/>
      <c r="T35" s="202"/>
      <c r="U35" s="202"/>
      <c r="V35" s="202"/>
      <c r="W35" s="202"/>
      <c r="X35" s="202"/>
      <c r="Y35" s="202"/>
      <c r="Z35" s="202"/>
    </row>
    <row r="36" spans="1:31" ht="13.5" thickBot="1" x14ac:dyDescent="0.25">
      <c r="A36" s="86"/>
      <c r="B36" s="70"/>
      <c r="C36" s="4"/>
      <c r="D36" s="4"/>
      <c r="E36" s="4"/>
      <c r="F36" s="4"/>
      <c r="G36" s="202"/>
      <c r="H36" s="202"/>
      <c r="I36" s="202"/>
      <c r="J36" s="202"/>
      <c r="K36" s="202"/>
      <c r="L36" s="202"/>
      <c r="M36" s="202"/>
      <c r="N36" s="202"/>
      <c r="O36" s="202"/>
      <c r="P36" s="202"/>
      <c r="Q36" s="202"/>
      <c r="R36" s="202"/>
      <c r="S36" s="202"/>
      <c r="T36" s="202"/>
      <c r="U36" s="202"/>
      <c r="V36" s="202"/>
      <c r="W36" s="202"/>
      <c r="X36" s="202"/>
      <c r="Y36" s="202"/>
      <c r="Z36" s="202"/>
    </row>
    <row r="37" spans="1:31" ht="14.25" thickTop="1" thickBot="1" x14ac:dyDescent="0.25">
      <c r="A37" s="3"/>
      <c r="B37" s="400" t="s">
        <v>38</v>
      </c>
      <c r="C37" s="1292" t="s">
        <v>27</v>
      </c>
      <c r="D37" s="1293"/>
      <c r="E37" s="1294" t="s">
        <v>28</v>
      </c>
      <c r="F37" s="1294"/>
      <c r="G37" s="1286" t="s">
        <v>83</v>
      </c>
      <c r="H37" s="1255"/>
      <c r="I37" s="1322" t="s">
        <v>93</v>
      </c>
      <c r="J37" s="1323"/>
      <c r="K37" s="1322" t="s">
        <v>94</v>
      </c>
      <c r="L37" s="1323"/>
      <c r="M37" s="1322" t="s">
        <v>100</v>
      </c>
      <c r="N37" s="1319"/>
      <c r="O37" s="1318" t="s">
        <v>143</v>
      </c>
      <c r="P37" s="1319"/>
      <c r="Q37" s="1318" t="s">
        <v>149</v>
      </c>
      <c r="R37" s="1319"/>
      <c r="S37" s="1318" t="s">
        <v>167</v>
      </c>
      <c r="T37" s="1319"/>
      <c r="U37" s="1318" t="s">
        <v>181</v>
      </c>
      <c r="V37" s="1319"/>
      <c r="W37" s="1318" t="s">
        <v>194</v>
      </c>
      <c r="X37" s="1319"/>
      <c r="Y37" s="1318" t="s">
        <v>203</v>
      </c>
      <c r="Z37" s="1319"/>
      <c r="AB37" s="1259" t="s">
        <v>133</v>
      </c>
      <c r="AC37" s="1260"/>
    </row>
    <row r="38" spans="1:31" x14ac:dyDescent="0.2">
      <c r="A38" s="3"/>
      <c r="B38" s="401" t="s">
        <v>39</v>
      </c>
      <c r="C38" s="131"/>
      <c r="D38" s="132"/>
      <c r="E38" s="32"/>
      <c r="F38" s="32"/>
      <c r="G38" s="209"/>
      <c r="H38" s="313"/>
      <c r="I38" s="301"/>
      <c r="J38" s="301"/>
      <c r="K38" s="229"/>
      <c r="L38" s="301"/>
      <c r="M38" s="229"/>
      <c r="N38" s="326"/>
      <c r="O38" s="301"/>
      <c r="P38" s="326"/>
      <c r="Q38" s="301"/>
      <c r="R38" s="326"/>
      <c r="S38" s="301"/>
      <c r="T38" s="326"/>
      <c r="U38" s="301"/>
      <c r="V38" s="326"/>
      <c r="W38" s="301"/>
      <c r="X38" s="326"/>
      <c r="Y38" s="301"/>
      <c r="Z38" s="326"/>
      <c r="AB38" s="624"/>
      <c r="AC38" s="625"/>
    </row>
    <row r="39" spans="1:31" x14ac:dyDescent="0.2">
      <c r="A39" s="3"/>
      <c r="B39" s="402" t="s">
        <v>40</v>
      </c>
      <c r="C39" s="31"/>
      <c r="D39" s="154">
        <v>848916</v>
      </c>
      <c r="E39" s="229"/>
      <c r="F39" s="314">
        <v>886204</v>
      </c>
      <c r="G39" s="301"/>
      <c r="H39" s="315">
        <v>876369</v>
      </c>
      <c r="I39" s="301"/>
      <c r="J39" s="353">
        <v>914859</v>
      </c>
      <c r="K39" s="229"/>
      <c r="L39" s="353">
        <v>961604</v>
      </c>
      <c r="M39" s="229"/>
      <c r="N39" s="314">
        <v>984753</v>
      </c>
      <c r="O39" s="301"/>
      <c r="P39" s="314">
        <v>944425</v>
      </c>
      <c r="Q39" s="301"/>
      <c r="R39" s="314">
        <v>980943</v>
      </c>
      <c r="S39" s="301"/>
      <c r="T39" s="498">
        <v>1125206</v>
      </c>
      <c r="U39" s="301"/>
      <c r="V39" s="498">
        <v>1151611</v>
      </c>
      <c r="W39" s="301"/>
      <c r="X39" s="498">
        <v>1167235</v>
      </c>
      <c r="Y39" s="301"/>
      <c r="Z39" s="498">
        <v>1268260</v>
      </c>
      <c r="AB39" s="636"/>
      <c r="AC39" s="631">
        <f>AVERAGE(X39,V39,T39,R39,Z39)</f>
        <v>1138651</v>
      </c>
    </row>
    <row r="40" spans="1:31" x14ac:dyDescent="0.2">
      <c r="A40" s="3"/>
      <c r="B40" s="402" t="s">
        <v>152</v>
      </c>
      <c r="C40" s="31"/>
      <c r="D40" s="154"/>
      <c r="E40" s="229"/>
      <c r="F40" s="314"/>
      <c r="G40" s="301"/>
      <c r="H40" s="315"/>
      <c r="I40" s="301"/>
      <c r="J40" s="353"/>
      <c r="K40" s="229"/>
      <c r="L40" s="353"/>
      <c r="M40" s="229"/>
      <c r="N40" s="314"/>
      <c r="O40" s="301"/>
      <c r="P40" s="314"/>
      <c r="Q40" s="301"/>
      <c r="R40" s="314"/>
      <c r="S40" s="301"/>
      <c r="T40" s="498"/>
      <c r="U40" s="301"/>
      <c r="V40" s="498"/>
      <c r="W40" s="301"/>
      <c r="X40" s="498"/>
      <c r="Y40" s="301"/>
      <c r="Z40" s="498"/>
      <c r="AB40" s="614"/>
      <c r="AC40" s="631"/>
    </row>
    <row r="41" spans="1:31" ht="36" x14ac:dyDescent="0.2">
      <c r="A41" s="3"/>
      <c r="B41" s="403" t="s">
        <v>153</v>
      </c>
      <c r="C41" s="32"/>
      <c r="D41" s="155">
        <v>110132</v>
      </c>
      <c r="E41" s="209"/>
      <c r="F41" s="315">
        <v>70200</v>
      </c>
      <c r="G41" s="284"/>
      <c r="H41" s="315">
        <v>70199</v>
      </c>
      <c r="I41" s="284"/>
      <c r="J41" s="259">
        <v>70334</v>
      </c>
      <c r="K41" s="209"/>
      <c r="L41" s="259">
        <v>90508</v>
      </c>
      <c r="M41" s="209"/>
      <c r="N41" s="315">
        <v>86152</v>
      </c>
      <c r="O41" s="284"/>
      <c r="P41" s="315">
        <v>149343</v>
      </c>
      <c r="Q41" s="284"/>
      <c r="R41" s="315">
        <v>112128</v>
      </c>
      <c r="S41" s="284"/>
      <c r="T41" s="503">
        <v>167401</v>
      </c>
      <c r="U41" s="284"/>
      <c r="V41" s="503">
        <v>267504</v>
      </c>
      <c r="W41" s="284"/>
      <c r="X41" s="503">
        <v>407095</v>
      </c>
      <c r="Y41" s="284"/>
      <c r="Z41" s="503">
        <v>528431</v>
      </c>
      <c r="AB41" s="614"/>
      <c r="AC41" s="631">
        <f t="shared" ref="AC41:AC42" si="6">AVERAGE(X41,V41,T41,R41,Z41)</f>
        <v>296511.8</v>
      </c>
    </row>
    <row r="42" spans="1:31" x14ac:dyDescent="0.2">
      <c r="A42" s="3"/>
      <c r="B42" s="404" t="s">
        <v>41</v>
      </c>
      <c r="C42" s="90"/>
      <c r="D42" s="156">
        <f>SUM(D39:D41)</f>
        <v>959048</v>
      </c>
      <c r="E42" s="230"/>
      <c r="F42" s="139">
        <f>SUM(F39:F41)</f>
        <v>956404</v>
      </c>
      <c r="G42" s="307"/>
      <c r="H42" s="336">
        <f>SUM(H39:H41)</f>
        <v>946568</v>
      </c>
      <c r="I42" s="307"/>
      <c r="J42" s="354">
        <f>SUM(J39:J41)</f>
        <v>985193</v>
      </c>
      <c r="K42" s="230"/>
      <c r="L42" s="354">
        <f>SUM(L39:L41)</f>
        <v>1052112</v>
      </c>
      <c r="M42" s="230"/>
      <c r="N42" s="336">
        <f>SUM(N39:N41)</f>
        <v>1070905</v>
      </c>
      <c r="O42" s="307"/>
      <c r="P42" s="336">
        <f>SUM(P39:P41)</f>
        <v>1093768</v>
      </c>
      <c r="Q42" s="307"/>
      <c r="R42" s="336">
        <f>SUM(R39:R41)</f>
        <v>1093071</v>
      </c>
      <c r="S42" s="307"/>
      <c r="T42" s="512">
        <f>SUM(T39:T41)</f>
        <v>1292607</v>
      </c>
      <c r="U42" s="307"/>
      <c r="V42" s="512">
        <f>SUM(V39:V41)</f>
        <v>1419115</v>
      </c>
      <c r="W42" s="307"/>
      <c r="X42" s="512">
        <f>SUM(X39:X41)</f>
        <v>1574330</v>
      </c>
      <c r="Y42" s="307"/>
      <c r="Z42" s="512">
        <f>SUM(Z39:Z41)</f>
        <v>1796691</v>
      </c>
      <c r="AB42" s="636"/>
      <c r="AC42" s="680">
        <f t="shared" si="6"/>
        <v>1435162.8</v>
      </c>
    </row>
    <row r="43" spans="1:31" x14ac:dyDescent="0.2">
      <c r="A43" s="3"/>
      <c r="B43" s="401" t="s">
        <v>42</v>
      </c>
      <c r="C43" s="32"/>
      <c r="D43" s="155"/>
      <c r="E43" s="209"/>
      <c r="F43" s="315"/>
      <c r="G43" s="284"/>
      <c r="H43" s="315"/>
      <c r="I43" s="284"/>
      <c r="J43" s="259"/>
      <c r="K43" s="209"/>
      <c r="L43" s="259"/>
      <c r="M43" s="209"/>
      <c r="N43" s="315"/>
      <c r="O43" s="284"/>
      <c r="P43" s="315"/>
      <c r="Q43" s="284"/>
      <c r="R43" s="315"/>
      <c r="S43" s="284"/>
      <c r="T43" s="503"/>
      <c r="U43" s="284"/>
      <c r="V43" s="503"/>
      <c r="W43" s="284"/>
      <c r="X43" s="503"/>
      <c r="Y43" s="284"/>
      <c r="Z43" s="503"/>
      <c r="AB43" s="523"/>
      <c r="AC43" s="631"/>
    </row>
    <row r="44" spans="1:31" x14ac:dyDescent="0.2">
      <c r="A44" s="3"/>
      <c r="B44" s="402" t="s">
        <v>40</v>
      </c>
      <c r="C44" s="32"/>
      <c r="D44" s="155">
        <v>88936</v>
      </c>
      <c r="E44" s="209"/>
      <c r="F44" s="315">
        <v>92574</v>
      </c>
      <c r="G44" s="284"/>
      <c r="H44" s="315">
        <v>94373</v>
      </c>
      <c r="I44" s="284"/>
      <c r="J44" s="259">
        <v>95882</v>
      </c>
      <c r="K44" s="209"/>
      <c r="L44" s="259">
        <v>67595</v>
      </c>
      <c r="M44" s="209"/>
      <c r="N44" s="315">
        <v>69843</v>
      </c>
      <c r="O44" s="284"/>
      <c r="P44" s="315">
        <v>49932</v>
      </c>
      <c r="Q44" s="284"/>
      <c r="R44" s="315">
        <v>50239</v>
      </c>
      <c r="S44" s="284"/>
      <c r="T44" s="503">
        <v>50595</v>
      </c>
      <c r="U44" s="284"/>
      <c r="V44" s="503">
        <v>53470</v>
      </c>
      <c r="W44" s="284"/>
      <c r="X44" s="503">
        <v>22260</v>
      </c>
      <c r="Y44" s="284"/>
      <c r="Z44" s="503">
        <v>14257</v>
      </c>
      <c r="AB44" s="636"/>
      <c r="AC44" s="631">
        <f>AVERAGE(X44,V44,T44,R44,Z44)</f>
        <v>38164.199999999997</v>
      </c>
    </row>
    <row r="45" spans="1:31" x14ac:dyDescent="0.2">
      <c r="A45" s="3"/>
      <c r="B45" s="402" t="s">
        <v>152</v>
      </c>
      <c r="C45" s="32"/>
      <c r="D45" s="155"/>
      <c r="E45" s="209"/>
      <c r="F45" s="315"/>
      <c r="G45" s="284"/>
      <c r="H45" s="315"/>
      <c r="I45" s="284"/>
      <c r="J45" s="259"/>
      <c r="K45" s="209"/>
      <c r="L45" s="259"/>
      <c r="M45" s="209"/>
      <c r="N45" s="315"/>
      <c r="O45" s="284"/>
      <c r="P45" s="315"/>
      <c r="Q45" s="284"/>
      <c r="R45" s="315"/>
      <c r="S45" s="284"/>
      <c r="T45" s="503"/>
      <c r="U45" s="284"/>
      <c r="V45" s="503"/>
      <c r="W45" s="284"/>
      <c r="X45" s="503"/>
      <c r="Y45" s="284"/>
      <c r="Z45" s="503"/>
      <c r="AB45" s="636"/>
      <c r="AC45" s="631"/>
    </row>
    <row r="46" spans="1:31" ht="36" x14ac:dyDescent="0.2">
      <c r="A46" s="3"/>
      <c r="B46" s="403" t="s">
        <v>153</v>
      </c>
      <c r="C46" s="32"/>
      <c r="D46" s="155"/>
      <c r="E46" s="209"/>
      <c r="F46" s="315"/>
      <c r="G46" s="284"/>
      <c r="H46" s="315"/>
      <c r="I46" s="284"/>
      <c r="J46" s="259"/>
      <c r="K46" s="209"/>
      <c r="L46" s="259"/>
      <c r="M46" s="209"/>
      <c r="N46" s="315"/>
      <c r="O46" s="284"/>
      <c r="P46" s="315"/>
      <c r="Q46" s="284"/>
      <c r="R46" s="315"/>
      <c r="S46" s="284"/>
      <c r="T46" s="503"/>
      <c r="U46" s="284"/>
      <c r="V46" s="503"/>
      <c r="W46" s="284"/>
      <c r="X46" s="503"/>
      <c r="Y46" s="284"/>
      <c r="Z46" s="503"/>
      <c r="AB46" s="636"/>
      <c r="AC46" s="631"/>
    </row>
    <row r="47" spans="1:31" x14ac:dyDescent="0.2">
      <c r="A47" s="3"/>
      <c r="B47" s="404" t="s">
        <v>43</v>
      </c>
      <c r="C47" s="138"/>
      <c r="D47" s="139">
        <f>SUM(D44:D46)</f>
        <v>88936</v>
      </c>
      <c r="E47" s="90"/>
      <c r="F47" s="156">
        <f>SUM(F44:F46)</f>
        <v>92574</v>
      </c>
      <c r="G47" s="230"/>
      <c r="H47" s="139">
        <f>SUM(H44:H46)</f>
        <v>94373</v>
      </c>
      <c r="I47" s="307"/>
      <c r="J47" s="354">
        <f>SUM(J44:J46)</f>
        <v>95882</v>
      </c>
      <c r="K47" s="230"/>
      <c r="L47" s="354">
        <f>SUM(L44:L46)</f>
        <v>67595</v>
      </c>
      <c r="M47" s="230"/>
      <c r="N47" s="336">
        <f>SUM(N44:N46)</f>
        <v>69843</v>
      </c>
      <c r="O47" s="307"/>
      <c r="P47" s="336">
        <f>SUM(P44:P46)</f>
        <v>49932</v>
      </c>
      <c r="Q47" s="307"/>
      <c r="R47" s="336">
        <f>SUM(R44:R46)</f>
        <v>50239</v>
      </c>
      <c r="S47" s="307"/>
      <c r="T47" s="512">
        <f>SUM(T44:T46)</f>
        <v>50595</v>
      </c>
      <c r="U47" s="307"/>
      <c r="V47" s="512">
        <f>SUM(V44:V46)</f>
        <v>53470</v>
      </c>
      <c r="W47" s="307"/>
      <c r="X47" s="512">
        <f>SUM(X44:X46)</f>
        <v>22260</v>
      </c>
      <c r="Y47" s="307"/>
      <c r="Z47" s="512">
        <f>SUM(Z44:Z46)</f>
        <v>14257</v>
      </c>
      <c r="AB47" s="614"/>
      <c r="AC47" s="680">
        <f t="shared" ref="AC47:AC48" si="7">AVERAGE(X47,V47,T47,R47,Z47)</f>
        <v>38164.199999999997</v>
      </c>
    </row>
    <row r="48" spans="1:31" ht="13.5" thickBot="1" x14ac:dyDescent="0.25">
      <c r="A48" s="3"/>
      <c r="B48" s="405" t="s">
        <v>44</v>
      </c>
      <c r="C48" s="131"/>
      <c r="D48" s="139">
        <f>SUM(D42,D47)</f>
        <v>1047984</v>
      </c>
      <c r="E48" s="32"/>
      <c r="F48" s="156">
        <f>SUM(F42,F47)</f>
        <v>1048978</v>
      </c>
      <c r="G48" s="209"/>
      <c r="H48" s="139">
        <f>SUM(H42,H47)</f>
        <v>1040941</v>
      </c>
      <c r="I48" s="284"/>
      <c r="J48" s="354">
        <f>SUM(J42,J47)</f>
        <v>1081075</v>
      </c>
      <c r="K48" s="209"/>
      <c r="L48" s="354">
        <f>SUM(L42,L47)</f>
        <v>1119707</v>
      </c>
      <c r="M48" s="209"/>
      <c r="N48" s="336">
        <f>SUM(N42,N47)</f>
        <v>1140748</v>
      </c>
      <c r="O48" s="284"/>
      <c r="P48" s="336">
        <f>SUM(P42,P47)</f>
        <v>1143700</v>
      </c>
      <c r="Q48" s="284"/>
      <c r="R48" s="336">
        <f>SUM(R42,R47)</f>
        <v>1143310</v>
      </c>
      <c r="S48" s="284"/>
      <c r="T48" s="512">
        <f>SUM(T42,T47)</f>
        <v>1343202</v>
      </c>
      <c r="U48" s="284"/>
      <c r="V48" s="512">
        <f>SUM(V42,V47)</f>
        <v>1472585</v>
      </c>
      <c r="W48" s="284"/>
      <c r="X48" s="512">
        <f>SUM(X42,X47)</f>
        <v>1596590</v>
      </c>
      <c r="Y48" s="284"/>
      <c r="Z48" s="512">
        <f>SUM(Z42,Z47)</f>
        <v>1810948</v>
      </c>
      <c r="AB48" s="628"/>
      <c r="AC48" s="681">
        <f t="shared" si="7"/>
        <v>1473327</v>
      </c>
    </row>
    <row r="49" spans="1:29" ht="12" x14ac:dyDescent="0.2">
      <c r="B49" s="406" t="s">
        <v>157</v>
      </c>
      <c r="C49" s="140"/>
      <c r="D49" s="141"/>
      <c r="E49" s="93"/>
      <c r="F49" s="93"/>
      <c r="G49" s="231"/>
      <c r="H49" s="316"/>
      <c r="I49" s="308"/>
      <c r="J49" s="308"/>
      <c r="K49" s="231"/>
      <c r="L49" s="308"/>
      <c r="M49" s="231"/>
      <c r="N49" s="316"/>
      <c r="O49" s="308"/>
      <c r="P49" s="316"/>
      <c r="Q49" s="308"/>
      <c r="R49" s="316"/>
      <c r="S49" s="308"/>
      <c r="T49" s="316"/>
      <c r="U49" s="308"/>
      <c r="V49" s="316"/>
      <c r="W49" s="308"/>
      <c r="X49" s="316"/>
      <c r="Y49" s="308"/>
      <c r="Z49" s="316"/>
      <c r="AB49" s="624"/>
      <c r="AC49" s="862"/>
    </row>
    <row r="50" spans="1:29" ht="12" x14ac:dyDescent="0.2">
      <c r="B50" s="48" t="s">
        <v>15</v>
      </c>
      <c r="C50" s="142"/>
      <c r="D50" s="143">
        <f>388994+455062</f>
        <v>844056</v>
      </c>
      <c r="E50" s="58"/>
      <c r="F50" s="81">
        <v>936019</v>
      </c>
      <c r="G50" s="232"/>
      <c r="H50" s="456">
        <v>910409.44</v>
      </c>
      <c r="I50" s="277"/>
      <c r="J50" s="277">
        <v>947050.86</v>
      </c>
      <c r="K50" s="457"/>
      <c r="L50" s="277">
        <f>950575</f>
        <v>950575</v>
      </c>
      <c r="M50" s="457"/>
      <c r="N50" s="394">
        <v>1205401</v>
      </c>
      <c r="O50" s="932"/>
      <c r="P50" s="931">
        <v>1219774</v>
      </c>
      <c r="Q50" s="932"/>
      <c r="R50" s="931">
        <v>1210943</v>
      </c>
      <c r="S50" s="932"/>
      <c r="T50" s="931">
        <v>1235099</v>
      </c>
      <c r="U50" s="932"/>
      <c r="V50" s="931">
        <v>1239825</v>
      </c>
      <c r="W50" s="932"/>
      <c r="X50" s="931">
        <v>1373241.449</v>
      </c>
      <c r="Y50" s="932"/>
      <c r="Z50" s="960"/>
      <c r="AB50" s="614"/>
      <c r="AC50" s="630">
        <f>AVERAGE(X50,V50,T50,R50,P50)</f>
        <v>1255776.4898000001</v>
      </c>
    </row>
    <row r="51" spans="1:29" ht="12" x14ac:dyDescent="0.2">
      <c r="B51" s="407" t="s">
        <v>16</v>
      </c>
      <c r="C51" s="144"/>
      <c r="D51" s="145">
        <f>93347</f>
        <v>93347</v>
      </c>
      <c r="E51" s="59"/>
      <c r="F51" s="247">
        <v>90993</v>
      </c>
      <c r="G51" s="233"/>
      <c r="H51" s="458">
        <v>83183</v>
      </c>
      <c r="I51" s="373"/>
      <c r="J51" s="373">
        <v>80425</v>
      </c>
      <c r="K51" s="294"/>
      <c r="L51" s="373">
        <f>2248+4811+63768</f>
        <v>70827</v>
      </c>
      <c r="M51" s="294"/>
      <c r="N51" s="394">
        <f>73279</f>
        <v>73279</v>
      </c>
      <c r="O51" s="934"/>
      <c r="P51" s="933">
        <f>15975+23949+55687</f>
        <v>95611</v>
      </c>
      <c r="Q51" s="934"/>
      <c r="R51" s="933">
        <f>51809.05+14126.99+17380.09</f>
        <v>83316.13</v>
      </c>
      <c r="S51" s="934"/>
      <c r="T51" s="933">
        <f>56069.05+31592.06+5992.33</f>
        <v>93653.440000000002</v>
      </c>
      <c r="U51" s="934"/>
      <c r="V51" s="933">
        <v>75458</v>
      </c>
      <c r="W51" s="934"/>
      <c r="X51" s="933">
        <v>15939.81</v>
      </c>
      <c r="Y51" s="934"/>
      <c r="Z51" s="961"/>
      <c r="AB51" s="636"/>
      <c r="AC51" s="654">
        <f>AVERAGE(X51,V51,T51,R51,P51)</f>
        <v>72795.676000000007</v>
      </c>
    </row>
    <row r="52" spans="1:29" thickBot="1" x14ac:dyDescent="0.25">
      <c r="B52" s="408"/>
      <c r="C52" s="146"/>
      <c r="D52" s="147"/>
      <c r="E52" s="60"/>
      <c r="F52" s="51"/>
      <c r="G52" s="234"/>
      <c r="H52" s="317"/>
      <c r="I52" s="295"/>
      <c r="J52" s="356"/>
      <c r="K52" s="234"/>
      <c r="L52" s="356"/>
      <c r="M52" s="234"/>
      <c r="N52" s="317"/>
      <c r="O52" s="295"/>
      <c r="P52" s="317"/>
      <c r="Q52" s="295"/>
      <c r="R52" s="317"/>
      <c r="S52" s="295"/>
      <c r="T52" s="317"/>
      <c r="U52" s="295"/>
      <c r="V52" s="317"/>
      <c r="W52" s="295"/>
      <c r="X52" s="317"/>
      <c r="Y52" s="295"/>
      <c r="Z52" s="317"/>
      <c r="AB52" s="653"/>
      <c r="AC52" s="655"/>
    </row>
    <row r="53" spans="1:29" ht="12" x14ac:dyDescent="0.2">
      <c r="B53" s="47"/>
      <c r="C53" s="148" t="s">
        <v>74</v>
      </c>
      <c r="D53" s="149" t="s">
        <v>80</v>
      </c>
      <c r="E53" s="73" t="s">
        <v>74</v>
      </c>
      <c r="F53" s="157" t="s">
        <v>80</v>
      </c>
      <c r="G53" s="253" t="s">
        <v>74</v>
      </c>
      <c r="H53" s="318" t="s">
        <v>80</v>
      </c>
      <c r="I53" s="225" t="s">
        <v>74</v>
      </c>
      <c r="J53" s="357" t="s">
        <v>80</v>
      </c>
      <c r="K53" s="253" t="s">
        <v>74</v>
      </c>
      <c r="L53" s="357" t="s">
        <v>80</v>
      </c>
      <c r="M53" s="253" t="s">
        <v>74</v>
      </c>
      <c r="N53" s="318" t="s">
        <v>80</v>
      </c>
      <c r="O53" s="225" t="s">
        <v>74</v>
      </c>
      <c r="P53" s="318" t="s">
        <v>80</v>
      </c>
      <c r="Q53" s="225" t="s">
        <v>74</v>
      </c>
      <c r="R53" s="318" t="s">
        <v>80</v>
      </c>
      <c r="S53" s="225" t="s">
        <v>74</v>
      </c>
      <c r="T53" s="318" t="s">
        <v>80</v>
      </c>
      <c r="U53" s="225" t="s">
        <v>74</v>
      </c>
      <c r="V53" s="318" t="s">
        <v>80</v>
      </c>
      <c r="W53" s="225" t="s">
        <v>74</v>
      </c>
      <c r="X53" s="318" t="s">
        <v>80</v>
      </c>
      <c r="Y53" s="225" t="s">
        <v>74</v>
      </c>
      <c r="Z53" s="318" t="s">
        <v>80</v>
      </c>
      <c r="AB53" s="661" t="s">
        <v>74</v>
      </c>
      <c r="AC53" s="237" t="s">
        <v>80</v>
      </c>
    </row>
    <row r="54" spans="1:29" ht="11.45" customHeight="1" x14ac:dyDescent="0.2">
      <c r="B54" s="54" t="s">
        <v>35</v>
      </c>
      <c r="C54" s="685">
        <v>5</v>
      </c>
      <c r="D54" s="388">
        <v>147479</v>
      </c>
      <c r="E54" s="687">
        <v>5</v>
      </c>
      <c r="F54" s="391">
        <v>93296</v>
      </c>
      <c r="G54" s="689">
        <v>7</v>
      </c>
      <c r="H54" s="394">
        <v>106051</v>
      </c>
      <c r="I54" s="691">
        <v>7</v>
      </c>
      <c r="J54" s="394">
        <v>99996</v>
      </c>
      <c r="K54" s="691">
        <v>1</v>
      </c>
      <c r="L54" s="396">
        <v>117495</v>
      </c>
      <c r="M54" s="689">
        <v>3</v>
      </c>
      <c r="N54" s="394">
        <v>299883</v>
      </c>
      <c r="O54" s="689">
        <v>5</v>
      </c>
      <c r="P54" s="394">
        <v>1229720</v>
      </c>
      <c r="Q54" s="689">
        <v>4</v>
      </c>
      <c r="R54" s="394">
        <v>1707943</v>
      </c>
      <c r="S54" s="689">
        <v>1</v>
      </c>
      <c r="T54" s="394">
        <v>8760</v>
      </c>
      <c r="U54" s="689">
        <v>5</v>
      </c>
      <c r="V54" s="394">
        <v>1496212</v>
      </c>
      <c r="W54" s="689">
        <v>2</v>
      </c>
      <c r="X54" s="394">
        <v>1991</v>
      </c>
      <c r="Y54" s="962"/>
      <c r="Z54" s="971"/>
      <c r="AB54" s="656">
        <f t="shared" ref="AB54:AC54" si="8">AVERAGE(W54,U54,S54,Q54,Y54)</f>
        <v>3</v>
      </c>
      <c r="AC54" s="799">
        <f t="shared" si="8"/>
        <v>803726.5</v>
      </c>
    </row>
    <row r="55" spans="1:29" ht="11.45" customHeight="1" x14ac:dyDescent="0.2">
      <c r="B55" s="54"/>
      <c r="C55" s="693"/>
      <c r="D55" s="389"/>
      <c r="E55" s="247"/>
      <c r="F55" s="392"/>
      <c r="G55" s="696"/>
      <c r="H55" s="395"/>
      <c r="I55" s="699"/>
      <c r="J55" s="395"/>
      <c r="K55" s="699"/>
      <c r="L55" s="397"/>
      <c r="M55" s="717"/>
      <c r="N55" s="395"/>
      <c r="O55" s="717"/>
      <c r="P55" s="395"/>
      <c r="Q55" s="717"/>
      <c r="R55" s="395"/>
      <c r="S55" s="717"/>
      <c r="T55" s="395"/>
      <c r="U55" s="717"/>
      <c r="V55" s="395"/>
      <c r="W55" s="717"/>
      <c r="X55" s="395"/>
      <c r="Y55" s="972"/>
      <c r="Z55" s="973"/>
      <c r="AB55" s="658"/>
      <c r="AC55" s="800"/>
    </row>
    <row r="56" spans="1:29" thickBot="1" x14ac:dyDescent="0.25">
      <c r="B56" s="409" t="s">
        <v>17</v>
      </c>
      <c r="C56" s="700">
        <v>16</v>
      </c>
      <c r="D56" s="390">
        <v>11998</v>
      </c>
      <c r="E56" s="702">
        <v>6</v>
      </c>
      <c r="F56" s="420">
        <v>372072</v>
      </c>
      <c r="G56" s="704">
        <v>21</v>
      </c>
      <c r="H56" s="399">
        <v>6665</v>
      </c>
      <c r="I56" s="713">
        <v>12</v>
      </c>
      <c r="J56" s="399">
        <v>331981</v>
      </c>
      <c r="K56" s="713">
        <v>1</v>
      </c>
      <c r="L56" s="398">
        <v>3500</v>
      </c>
      <c r="M56" s="718">
        <v>3</v>
      </c>
      <c r="N56" s="399">
        <v>218058</v>
      </c>
      <c r="O56" s="718">
        <v>4</v>
      </c>
      <c r="P56" s="399">
        <v>15204</v>
      </c>
      <c r="Q56" s="718">
        <v>4</v>
      </c>
      <c r="R56" s="399">
        <v>2282480</v>
      </c>
      <c r="S56" s="718">
        <v>2</v>
      </c>
      <c r="T56" s="399">
        <v>145168</v>
      </c>
      <c r="U56" s="718">
        <v>1</v>
      </c>
      <c r="V56" s="399">
        <v>500000</v>
      </c>
      <c r="W56" s="718">
        <v>4</v>
      </c>
      <c r="X56" s="399">
        <v>827642</v>
      </c>
      <c r="Y56" s="974"/>
      <c r="Z56" s="975"/>
      <c r="AB56" s="659">
        <f t="shared" ref="AB56:AC56" si="9">AVERAGE(W56,U56,S56,Q56,Y56)</f>
        <v>2.75</v>
      </c>
      <c r="AC56" s="801">
        <f t="shared" si="9"/>
        <v>938822.5</v>
      </c>
    </row>
    <row r="57" spans="1:29" ht="12" x14ac:dyDescent="0.2">
      <c r="B57" s="406" t="s">
        <v>50</v>
      </c>
      <c r="C57" s="150"/>
      <c r="D57" s="159"/>
      <c r="E57" s="105"/>
      <c r="F57" s="218"/>
      <c r="G57" s="254"/>
      <c r="H57" s="319"/>
      <c r="I57" s="311"/>
      <c r="J57" s="358"/>
      <c r="K57" s="254"/>
      <c r="L57" s="358"/>
      <c r="M57" s="254"/>
      <c r="N57" s="319"/>
      <c r="O57" s="311"/>
      <c r="P57" s="319"/>
      <c r="Q57" s="311"/>
      <c r="R57" s="319"/>
      <c r="S57" s="311"/>
      <c r="T57" s="319"/>
      <c r="U57" s="311"/>
      <c r="V57" s="319"/>
      <c r="W57" s="311"/>
      <c r="X57" s="319"/>
      <c r="Y57" s="311"/>
      <c r="Z57" s="319"/>
      <c r="AB57" s="523"/>
      <c r="AC57" s="272"/>
    </row>
    <row r="58" spans="1:29" ht="7.5" customHeight="1" x14ac:dyDescent="0.2">
      <c r="B58" s="410" t="s">
        <v>51</v>
      </c>
      <c r="C58" s="151"/>
      <c r="D58" s="160"/>
      <c r="E58" s="71"/>
      <c r="F58" s="34"/>
      <c r="G58" s="255"/>
      <c r="H58" s="377"/>
      <c r="I58" s="309"/>
      <c r="J58" s="377"/>
      <c r="K58" s="255"/>
      <c r="L58" s="200"/>
      <c r="M58" s="255"/>
      <c r="N58" s="320"/>
      <c r="O58" s="224"/>
      <c r="P58" s="320"/>
      <c r="Q58" s="224"/>
      <c r="R58" s="320"/>
      <c r="S58" s="224"/>
      <c r="T58" s="320"/>
      <c r="U58" s="224"/>
      <c r="V58" s="320"/>
      <c r="W58" s="224"/>
      <c r="X58" s="320"/>
      <c r="Y58" s="224"/>
      <c r="Z58" s="320"/>
      <c r="AB58" s="523"/>
      <c r="AC58" s="272"/>
    </row>
    <row r="59" spans="1:29" ht="12" x14ac:dyDescent="0.2">
      <c r="B59" s="402" t="s">
        <v>52</v>
      </c>
      <c r="C59" s="142"/>
      <c r="D59" s="244">
        <v>24622</v>
      </c>
      <c r="E59" s="58"/>
      <c r="F59" s="245">
        <v>41720</v>
      </c>
      <c r="G59" s="232"/>
      <c r="H59" s="468">
        <v>33986.5</v>
      </c>
      <c r="I59" s="464"/>
      <c r="J59" s="462">
        <v>1113147.1200000001</v>
      </c>
      <c r="K59" s="469"/>
      <c r="L59" s="516">
        <v>130794.07</v>
      </c>
      <c r="M59" s="469"/>
      <c r="N59" s="789">
        <v>1891029</v>
      </c>
      <c r="O59" s="807"/>
      <c r="P59" s="789">
        <v>167641</v>
      </c>
      <c r="Q59" s="807"/>
      <c r="R59" s="789">
        <v>193065.85</v>
      </c>
      <c r="S59" s="807"/>
      <c r="T59" s="789">
        <v>184275.78</v>
      </c>
      <c r="U59" s="807"/>
      <c r="V59" s="789">
        <v>527144.19999999995</v>
      </c>
      <c r="W59" s="807"/>
      <c r="X59" s="789">
        <v>230124.35</v>
      </c>
      <c r="Y59" s="807"/>
      <c r="Z59" s="976"/>
      <c r="AB59" s="614"/>
      <c r="AC59" s="630">
        <f t="shared" ref="AC59:AC60" si="10">AVERAGE(X59,V59,T59,R59,P59)</f>
        <v>260450.23599999998</v>
      </c>
    </row>
    <row r="60" spans="1:29" thickBot="1" x14ac:dyDescent="0.25">
      <c r="B60" s="421" t="s">
        <v>53</v>
      </c>
      <c r="C60" s="153"/>
      <c r="D60" s="162">
        <v>0</v>
      </c>
      <c r="E60" s="62"/>
      <c r="F60" s="220">
        <v>0</v>
      </c>
      <c r="G60" s="257"/>
      <c r="H60" s="362">
        <v>0</v>
      </c>
      <c r="I60" s="257"/>
      <c r="J60" s="362">
        <v>0</v>
      </c>
      <c r="K60" s="257"/>
      <c r="L60" s="362">
        <v>0</v>
      </c>
      <c r="M60" s="257"/>
      <c r="N60" s="374">
        <v>0</v>
      </c>
      <c r="O60" s="312"/>
      <c r="P60" s="374">
        <v>0</v>
      </c>
      <c r="Q60" s="312"/>
      <c r="R60" s="374">
        <v>0</v>
      </c>
      <c r="S60" s="312"/>
      <c r="T60" s="374">
        <v>0</v>
      </c>
      <c r="U60" s="312"/>
      <c r="V60" s="374">
        <v>0</v>
      </c>
      <c r="W60" s="312"/>
      <c r="X60" s="374">
        <v>0</v>
      </c>
      <c r="Y60" s="312"/>
      <c r="Z60" s="956"/>
      <c r="AB60" s="575"/>
      <c r="AC60" s="635">
        <f t="shared" si="10"/>
        <v>0</v>
      </c>
    </row>
    <row r="61" spans="1:29" thickTop="1" x14ac:dyDescent="0.2">
      <c r="B61" s="70"/>
      <c r="C61" s="71"/>
      <c r="D61" s="72"/>
      <c r="E61" s="71"/>
      <c r="F61" s="73"/>
      <c r="G61" s="224"/>
      <c r="H61" s="225"/>
      <c r="I61" s="224"/>
      <c r="J61" s="225"/>
      <c r="K61" s="224"/>
      <c r="L61" s="225"/>
      <c r="M61" s="224"/>
      <c r="N61" s="225"/>
      <c r="O61" s="224"/>
      <c r="P61" s="225"/>
      <c r="Q61" s="224"/>
      <c r="R61" s="225"/>
      <c r="S61" s="224"/>
      <c r="T61" s="225"/>
      <c r="U61" s="224"/>
      <c r="V61" s="225"/>
      <c r="W61" s="224"/>
      <c r="X61" s="225"/>
      <c r="Y61" s="224"/>
      <c r="Z61" s="225"/>
    </row>
    <row r="62" spans="1:29" x14ac:dyDescent="0.2">
      <c r="A62" s="3" t="s">
        <v>46</v>
      </c>
      <c r="B62" s="70"/>
      <c r="C62" s="71"/>
      <c r="D62" s="72"/>
      <c r="E62" s="71"/>
      <c r="F62" s="73"/>
      <c r="G62" s="224"/>
      <c r="H62" s="225"/>
      <c r="I62" s="224"/>
      <c r="J62" s="225"/>
      <c r="K62" s="224"/>
      <c r="L62" s="225"/>
      <c r="M62" s="224"/>
      <c r="N62" s="225"/>
      <c r="O62" s="224"/>
      <c r="P62" s="225"/>
      <c r="Q62" s="224"/>
      <c r="R62" s="225"/>
      <c r="S62" s="224"/>
      <c r="T62" s="225"/>
      <c r="U62" s="224"/>
      <c r="V62" s="225"/>
      <c r="W62" s="224"/>
      <c r="X62" s="225"/>
      <c r="Y62" s="224"/>
      <c r="Z62" s="225"/>
    </row>
    <row r="63" spans="1:29" thickBot="1" x14ac:dyDescent="0.25">
      <c r="B63" s="70"/>
      <c r="C63" s="71"/>
      <c r="D63" s="72"/>
      <c r="E63" s="71"/>
      <c r="F63" s="73"/>
      <c r="G63" s="224"/>
      <c r="H63" s="225"/>
      <c r="I63" s="224"/>
      <c r="J63" s="225"/>
      <c r="K63" s="224"/>
      <c r="L63" s="225"/>
      <c r="M63" s="224"/>
      <c r="N63" s="225"/>
      <c r="O63" s="224"/>
      <c r="P63" s="225"/>
      <c r="Q63" s="224"/>
      <c r="R63" s="225"/>
      <c r="S63" s="224"/>
      <c r="T63" s="225"/>
      <c r="U63" s="224"/>
      <c r="V63" s="225"/>
      <c r="W63" s="224"/>
      <c r="X63" s="225"/>
      <c r="Y63" s="224"/>
      <c r="Z63" s="225"/>
    </row>
    <row r="64" spans="1:29" ht="14.25" thickTop="1" thickBot="1" x14ac:dyDescent="0.25">
      <c r="B64" s="415"/>
      <c r="C64" s="1292" t="s">
        <v>27</v>
      </c>
      <c r="D64" s="1293"/>
      <c r="E64" s="1294" t="s">
        <v>28</v>
      </c>
      <c r="F64" s="1294"/>
      <c r="G64" s="1286" t="s">
        <v>83</v>
      </c>
      <c r="H64" s="1255"/>
      <c r="I64" s="1322" t="s">
        <v>93</v>
      </c>
      <c r="J64" s="1323"/>
      <c r="K64" s="1322" t="s">
        <v>94</v>
      </c>
      <c r="L64" s="1323"/>
      <c r="M64" s="1322" t="s">
        <v>100</v>
      </c>
      <c r="N64" s="1319"/>
      <c r="O64" s="1318" t="s">
        <v>143</v>
      </c>
      <c r="P64" s="1319"/>
      <c r="Q64" s="1318" t="s">
        <v>149</v>
      </c>
      <c r="R64" s="1319"/>
      <c r="S64" s="1318" t="s">
        <v>167</v>
      </c>
      <c r="T64" s="1319"/>
      <c r="U64" s="1318" t="s">
        <v>181</v>
      </c>
      <c r="V64" s="1319"/>
      <c r="W64" s="1318" t="s">
        <v>194</v>
      </c>
      <c r="X64" s="1319"/>
      <c r="Y64" s="1318" t="s">
        <v>203</v>
      </c>
      <c r="Z64" s="1319"/>
      <c r="AB64" s="1259" t="s">
        <v>133</v>
      </c>
      <c r="AC64" s="1260"/>
    </row>
    <row r="65" spans="2:30" ht="12" x14ac:dyDescent="0.2">
      <c r="B65" s="44" t="s">
        <v>31</v>
      </c>
      <c r="C65" s="129"/>
      <c r="D65" s="130"/>
      <c r="E65" s="31"/>
      <c r="F65" s="31"/>
      <c r="G65" s="229"/>
      <c r="H65" s="326"/>
      <c r="I65" s="301"/>
      <c r="J65" s="301"/>
      <c r="K65" s="229"/>
      <c r="L65" s="301"/>
      <c r="M65" s="229"/>
      <c r="N65" s="326"/>
      <c r="O65" s="301"/>
      <c r="P65" s="326"/>
      <c r="Q65" s="301"/>
      <c r="R65" s="326"/>
      <c r="S65" s="301"/>
      <c r="T65" s="326"/>
      <c r="U65" s="301"/>
      <c r="V65" s="326"/>
      <c r="W65" s="301"/>
      <c r="X65" s="326"/>
      <c r="Y65" s="301"/>
      <c r="Z65" s="326"/>
      <c r="AB65" s="523"/>
      <c r="AC65" s="272"/>
    </row>
    <row r="66" spans="2:30" ht="12" x14ac:dyDescent="0.2">
      <c r="B66" s="416" t="s">
        <v>32</v>
      </c>
      <c r="C66" s="131"/>
      <c r="D66" s="164"/>
      <c r="E66" s="32"/>
      <c r="F66" s="52"/>
      <c r="G66" s="209"/>
      <c r="H66" s="305"/>
      <c r="I66" s="284"/>
      <c r="J66" s="101"/>
      <c r="K66" s="209"/>
      <c r="L66" s="101"/>
      <c r="M66" s="209"/>
      <c r="N66" s="305"/>
      <c r="O66" s="284"/>
      <c r="P66" s="305"/>
      <c r="Q66" s="284"/>
      <c r="R66" s="305"/>
      <c r="S66" s="284"/>
      <c r="T66" s="305"/>
      <c r="U66" s="284"/>
      <c r="V66" s="305"/>
      <c r="W66" s="284"/>
      <c r="X66" s="305"/>
      <c r="Y66" s="284"/>
      <c r="Z66" s="305"/>
      <c r="AB66" s="523"/>
      <c r="AC66" s="272"/>
    </row>
    <row r="67" spans="2:30" ht="12" x14ac:dyDescent="0.2">
      <c r="B67" s="45" t="s">
        <v>33</v>
      </c>
      <c r="C67" s="131"/>
      <c r="D67" s="164">
        <v>8</v>
      </c>
      <c r="E67" s="32"/>
      <c r="F67" s="52">
        <v>7</v>
      </c>
      <c r="G67" s="209"/>
      <c r="H67" s="305">
        <v>7</v>
      </c>
      <c r="I67" s="284"/>
      <c r="J67" s="101">
        <v>7</v>
      </c>
      <c r="K67" s="209"/>
      <c r="L67" s="101">
        <v>8</v>
      </c>
      <c r="M67" s="209"/>
      <c r="N67" s="305">
        <v>9</v>
      </c>
      <c r="O67" s="284"/>
      <c r="P67" s="305">
        <v>9</v>
      </c>
      <c r="Q67" s="284"/>
      <c r="R67" s="305">
        <v>9</v>
      </c>
      <c r="S67" s="284"/>
      <c r="T67" s="305">
        <v>9</v>
      </c>
      <c r="U67" s="284"/>
      <c r="V67" s="305">
        <v>7</v>
      </c>
      <c r="W67" s="284"/>
      <c r="X67" s="305">
        <v>9</v>
      </c>
      <c r="Y67" s="284"/>
      <c r="Z67" s="305">
        <v>8</v>
      </c>
      <c r="AB67" s="636"/>
      <c r="AC67" s="626">
        <f t="shared" ref="AC67:AC68" si="11">AVERAGE(X67,V67,T67,R67,Z67)</f>
        <v>8.4</v>
      </c>
    </row>
    <row r="68" spans="2:30" ht="12" x14ac:dyDescent="0.2">
      <c r="B68" s="45" t="s">
        <v>103</v>
      </c>
      <c r="C68" s="131"/>
      <c r="D68" s="164">
        <v>0</v>
      </c>
      <c r="E68" s="32"/>
      <c r="F68" s="52">
        <v>3</v>
      </c>
      <c r="G68" s="209"/>
      <c r="H68" s="305">
        <v>1</v>
      </c>
      <c r="I68" s="284"/>
      <c r="J68" s="101">
        <v>1</v>
      </c>
      <c r="K68" s="209"/>
      <c r="L68" s="101">
        <v>0</v>
      </c>
      <c r="M68" s="209"/>
      <c r="N68" s="305">
        <v>0</v>
      </c>
      <c r="O68" s="284"/>
      <c r="P68" s="305">
        <v>0</v>
      </c>
      <c r="Q68" s="284"/>
      <c r="R68" s="305">
        <v>0</v>
      </c>
      <c r="S68" s="284"/>
      <c r="T68" s="305">
        <v>0</v>
      </c>
      <c r="U68" s="284"/>
      <c r="V68" s="305">
        <v>2</v>
      </c>
      <c r="W68" s="284"/>
      <c r="X68" s="305">
        <v>2</v>
      </c>
      <c r="Y68" s="284"/>
      <c r="Z68" s="305">
        <v>2</v>
      </c>
      <c r="AB68" s="636"/>
      <c r="AC68" s="914">
        <f t="shared" si="11"/>
        <v>1.2</v>
      </c>
    </row>
    <row r="69" spans="2:30" ht="12" x14ac:dyDescent="0.2">
      <c r="B69" s="416" t="s">
        <v>34</v>
      </c>
      <c r="C69" s="131"/>
      <c r="D69" s="133"/>
      <c r="E69" s="32"/>
      <c r="F69" s="33"/>
      <c r="G69" s="209"/>
      <c r="H69" s="212"/>
      <c r="I69" s="284"/>
      <c r="J69" s="211"/>
      <c r="K69" s="209"/>
      <c r="L69" s="211"/>
      <c r="M69" s="209"/>
      <c r="N69" s="212"/>
      <c r="O69" s="284"/>
      <c r="P69" s="212"/>
      <c r="Q69" s="284"/>
      <c r="R69" s="212"/>
      <c r="S69" s="284"/>
      <c r="T69" s="212"/>
      <c r="U69" s="284"/>
      <c r="V69" s="212"/>
      <c r="W69" s="284"/>
      <c r="X69" s="212"/>
      <c r="Y69" s="284"/>
      <c r="Z69" s="212"/>
      <c r="AB69" s="622"/>
      <c r="AC69" s="613"/>
    </row>
    <row r="70" spans="2:30" ht="12" x14ac:dyDescent="0.2">
      <c r="B70" s="45" t="s">
        <v>33</v>
      </c>
      <c r="C70" s="131"/>
      <c r="D70" s="133">
        <v>1</v>
      </c>
      <c r="E70" s="32"/>
      <c r="F70" s="33">
        <v>0</v>
      </c>
      <c r="G70" s="209"/>
      <c r="H70" s="212">
        <v>0</v>
      </c>
      <c r="I70" s="284"/>
      <c r="J70" s="211">
        <v>0</v>
      </c>
      <c r="K70" s="209"/>
      <c r="L70" s="211">
        <v>0</v>
      </c>
      <c r="M70" s="209"/>
      <c r="N70" s="212">
        <v>0</v>
      </c>
      <c r="O70" s="284"/>
      <c r="P70" s="212">
        <v>0</v>
      </c>
      <c r="Q70" s="284"/>
      <c r="R70" s="212">
        <v>0</v>
      </c>
      <c r="S70" s="284"/>
      <c r="T70" s="212">
        <v>1</v>
      </c>
      <c r="U70" s="284"/>
      <c r="V70" s="212">
        <v>2</v>
      </c>
      <c r="W70" s="284"/>
      <c r="X70" s="212">
        <v>1</v>
      </c>
      <c r="Y70" s="284"/>
      <c r="Z70" s="212">
        <v>1</v>
      </c>
      <c r="AB70" s="636"/>
      <c r="AC70" s="914">
        <f t="shared" ref="AC70:AC72" si="12">AVERAGE(X70,V70,T70,R70,Z70)</f>
        <v>1</v>
      </c>
    </row>
    <row r="71" spans="2:30" ht="12" x14ac:dyDescent="0.2">
      <c r="B71" s="417" t="s">
        <v>103</v>
      </c>
      <c r="C71" s="131"/>
      <c r="D71" s="133">
        <v>0</v>
      </c>
      <c r="E71" s="32"/>
      <c r="F71" s="33">
        <v>0</v>
      </c>
      <c r="G71" s="209"/>
      <c r="H71" s="212">
        <v>0</v>
      </c>
      <c r="I71" s="284"/>
      <c r="J71" s="211">
        <v>0</v>
      </c>
      <c r="K71" s="209"/>
      <c r="L71" s="211">
        <v>0</v>
      </c>
      <c r="M71" s="209"/>
      <c r="N71" s="212">
        <v>0</v>
      </c>
      <c r="O71" s="284"/>
      <c r="P71" s="212">
        <v>0</v>
      </c>
      <c r="Q71" s="284"/>
      <c r="R71" s="212">
        <v>0</v>
      </c>
      <c r="S71" s="284"/>
      <c r="T71" s="212">
        <v>0</v>
      </c>
      <c r="U71" s="284"/>
      <c r="V71" s="212">
        <v>0</v>
      </c>
      <c r="W71" s="284"/>
      <c r="X71" s="212">
        <v>0</v>
      </c>
      <c r="Y71" s="284"/>
      <c r="Z71" s="212">
        <v>1</v>
      </c>
      <c r="AB71" s="636"/>
      <c r="AC71" s="914">
        <f t="shared" si="12"/>
        <v>0.2</v>
      </c>
    </row>
    <row r="72" spans="2:30" thickBot="1" x14ac:dyDescent="0.25">
      <c r="B72" s="49" t="s">
        <v>14</v>
      </c>
      <c r="C72" s="165"/>
      <c r="D72" s="135">
        <f>SUM(D67:D71)</f>
        <v>9</v>
      </c>
      <c r="E72" s="79"/>
      <c r="F72" s="56">
        <f>SUM(F67:F71)</f>
        <v>10</v>
      </c>
      <c r="G72" s="260"/>
      <c r="H72" s="306">
        <v>8</v>
      </c>
      <c r="I72" s="339"/>
      <c r="J72" s="364">
        <f>SUM(J67:J71)</f>
        <v>8</v>
      </c>
      <c r="K72" s="260"/>
      <c r="L72" s="364">
        <f>SUM(L67:L71)</f>
        <v>8</v>
      </c>
      <c r="M72" s="260"/>
      <c r="N72" s="306">
        <f>SUM(N67:N71)</f>
        <v>9</v>
      </c>
      <c r="O72" s="339"/>
      <c r="P72" s="306">
        <f>SUM(P67:P71)</f>
        <v>9</v>
      </c>
      <c r="Q72" s="339"/>
      <c r="R72" s="306">
        <f>SUM(R67:R71)</f>
        <v>9</v>
      </c>
      <c r="S72" s="339"/>
      <c r="T72" s="306">
        <f>SUM(T67:T71)</f>
        <v>10</v>
      </c>
      <c r="U72" s="339"/>
      <c r="V72" s="306">
        <f>SUM(V67:V71)</f>
        <v>11</v>
      </c>
      <c r="W72" s="339"/>
      <c r="X72" s="306">
        <f>SUM(X67:X71)</f>
        <v>12</v>
      </c>
      <c r="Y72" s="339"/>
      <c r="Z72" s="306">
        <f>SUM(Z67:Z71)</f>
        <v>12</v>
      </c>
      <c r="AB72" s="615"/>
      <c r="AC72" s="616">
        <f t="shared" si="12"/>
        <v>10.8</v>
      </c>
    </row>
    <row r="73" spans="2:30" thickTop="1" x14ac:dyDescent="0.2">
      <c r="B73" s="418" t="s">
        <v>76</v>
      </c>
      <c r="C73" s="166"/>
      <c r="D73" s="167"/>
      <c r="E73" s="123"/>
      <c r="F73" s="163"/>
      <c r="G73" s="248" t="s">
        <v>74</v>
      </c>
      <c r="H73" s="328" t="s">
        <v>75</v>
      </c>
      <c r="I73" s="322" t="s">
        <v>74</v>
      </c>
      <c r="J73" s="363" t="s">
        <v>75</v>
      </c>
      <c r="K73" s="248" t="s">
        <v>74</v>
      </c>
      <c r="L73" s="363" t="s">
        <v>75</v>
      </c>
      <c r="M73" s="248" t="s">
        <v>74</v>
      </c>
      <c r="N73" s="328" t="s">
        <v>75</v>
      </c>
      <c r="O73" s="322" t="s">
        <v>74</v>
      </c>
      <c r="P73" s="328" t="s">
        <v>75</v>
      </c>
      <c r="Q73" s="322" t="s">
        <v>74</v>
      </c>
      <c r="R73" s="328" t="s">
        <v>75</v>
      </c>
      <c r="S73" s="322" t="s">
        <v>74</v>
      </c>
      <c r="T73" s="328" t="s">
        <v>75</v>
      </c>
      <c r="U73" s="322" t="s">
        <v>74</v>
      </c>
      <c r="V73" s="328" t="s">
        <v>75</v>
      </c>
      <c r="W73" s="322" t="s">
        <v>74</v>
      </c>
      <c r="X73" s="328" t="s">
        <v>75</v>
      </c>
      <c r="Y73" s="322" t="s">
        <v>74</v>
      </c>
      <c r="Z73" s="328" t="s">
        <v>75</v>
      </c>
      <c r="AB73" s="617" t="s">
        <v>74</v>
      </c>
      <c r="AC73" s="612" t="s">
        <v>75</v>
      </c>
    </row>
    <row r="74" spans="2:30" ht="12" x14ac:dyDescent="0.2">
      <c r="B74" s="45" t="s">
        <v>57</v>
      </c>
      <c r="C74" s="168">
        <v>7</v>
      </c>
      <c r="D74" s="169">
        <f>C74/D$72</f>
        <v>0.77777777777777779</v>
      </c>
      <c r="E74" s="124">
        <v>7</v>
      </c>
      <c r="F74" s="176">
        <f t="shared" ref="F74:H81" si="13">E74/F$72</f>
        <v>0.7</v>
      </c>
      <c r="G74" s="168">
        <v>5</v>
      </c>
      <c r="H74" s="329">
        <f t="shared" si="13"/>
        <v>0.625</v>
      </c>
      <c r="I74" s="124">
        <v>6</v>
      </c>
      <c r="J74" s="176">
        <f t="shared" ref="J74:L81" si="14">I74/J$72</f>
        <v>0.75</v>
      </c>
      <c r="K74" s="168">
        <v>6</v>
      </c>
      <c r="L74" s="176">
        <f t="shared" si="14"/>
        <v>0.75</v>
      </c>
      <c r="M74" s="168">
        <v>7</v>
      </c>
      <c r="N74" s="329">
        <f t="shared" ref="N74:P81" si="15">M74/N$72</f>
        <v>0.77777777777777779</v>
      </c>
      <c r="O74" s="124">
        <v>7</v>
      </c>
      <c r="P74" s="329">
        <f t="shared" si="15"/>
        <v>0.77777777777777779</v>
      </c>
      <c r="Q74" s="124">
        <v>7</v>
      </c>
      <c r="R74" s="329">
        <f t="shared" ref="R74:T81" si="16">Q74/R$72</f>
        <v>0.77777777777777779</v>
      </c>
      <c r="S74" s="124">
        <f>6</f>
        <v>6</v>
      </c>
      <c r="T74" s="329">
        <f t="shared" si="16"/>
        <v>0.6</v>
      </c>
      <c r="U74" s="124">
        <v>8</v>
      </c>
      <c r="V74" s="329">
        <f t="shared" ref="V74:V81" si="17">U74/V$72</f>
        <v>0.72727272727272729</v>
      </c>
      <c r="W74" s="124">
        <v>8</v>
      </c>
      <c r="X74" s="329">
        <f t="shared" ref="X74:X81" si="18">W74/X$72</f>
        <v>0.66666666666666663</v>
      </c>
      <c r="Y74" s="124">
        <v>9</v>
      </c>
      <c r="Z74" s="329">
        <f t="shared" ref="Z74:Z81" si="19">Y74/Z$72</f>
        <v>0.75</v>
      </c>
      <c r="AB74" s="662">
        <f t="shared" ref="AB74:AB81" si="20">AVERAGE(W74,U74,S74,Q74,Y74)</f>
        <v>7.6</v>
      </c>
      <c r="AC74" s="665">
        <f t="shared" ref="AC74:AC81" si="21">AVERAGE(X74,V74,T74,R74,Z74)</f>
        <v>0.70434343434343438</v>
      </c>
    </row>
    <row r="75" spans="2:30" ht="12" x14ac:dyDescent="0.2">
      <c r="B75" s="94" t="s">
        <v>58</v>
      </c>
      <c r="C75" s="168">
        <v>0</v>
      </c>
      <c r="D75" s="169">
        <f t="shared" ref="D75:D93" si="22">C75/$D$72</f>
        <v>0</v>
      </c>
      <c r="E75" s="124">
        <v>1</v>
      </c>
      <c r="F75" s="176">
        <f t="shared" si="13"/>
        <v>0.1</v>
      </c>
      <c r="G75" s="168">
        <v>0</v>
      </c>
      <c r="H75" s="329">
        <f t="shared" si="13"/>
        <v>0</v>
      </c>
      <c r="I75" s="124">
        <v>0</v>
      </c>
      <c r="J75" s="176">
        <f t="shared" si="14"/>
        <v>0</v>
      </c>
      <c r="K75" s="168">
        <v>0</v>
      </c>
      <c r="L75" s="176">
        <f t="shared" si="14"/>
        <v>0</v>
      </c>
      <c r="M75" s="168">
        <v>0</v>
      </c>
      <c r="N75" s="329">
        <f t="shared" si="15"/>
        <v>0</v>
      </c>
      <c r="O75" s="124">
        <v>0</v>
      </c>
      <c r="P75" s="329">
        <f t="shared" si="15"/>
        <v>0</v>
      </c>
      <c r="Q75" s="124">
        <v>0</v>
      </c>
      <c r="R75" s="329">
        <f t="shared" si="16"/>
        <v>0</v>
      </c>
      <c r="S75" s="124">
        <f>0</f>
        <v>0</v>
      </c>
      <c r="T75" s="329">
        <f t="shared" si="16"/>
        <v>0</v>
      </c>
      <c r="U75" s="124">
        <v>0</v>
      </c>
      <c r="V75" s="329">
        <f t="shared" si="17"/>
        <v>0</v>
      </c>
      <c r="W75" s="124">
        <v>0</v>
      </c>
      <c r="X75" s="329">
        <f t="shared" si="18"/>
        <v>0</v>
      </c>
      <c r="Y75" s="124">
        <v>0</v>
      </c>
      <c r="Z75" s="329">
        <f t="shared" si="19"/>
        <v>0</v>
      </c>
      <c r="AB75" s="662">
        <f t="shared" si="20"/>
        <v>0</v>
      </c>
      <c r="AC75" s="665">
        <f t="shared" si="21"/>
        <v>0</v>
      </c>
    </row>
    <row r="76" spans="2:30" ht="12" x14ac:dyDescent="0.2">
      <c r="B76" s="94" t="s">
        <v>59</v>
      </c>
      <c r="C76" s="168">
        <v>0</v>
      </c>
      <c r="D76" s="169">
        <f t="shared" si="22"/>
        <v>0</v>
      </c>
      <c r="E76" s="124">
        <v>0</v>
      </c>
      <c r="F76" s="176">
        <f t="shared" si="13"/>
        <v>0</v>
      </c>
      <c r="G76" s="168">
        <v>0</v>
      </c>
      <c r="H76" s="329">
        <f t="shared" si="13"/>
        <v>0</v>
      </c>
      <c r="I76" s="124">
        <v>0</v>
      </c>
      <c r="J76" s="176">
        <f t="shared" si="14"/>
        <v>0</v>
      </c>
      <c r="K76" s="168">
        <v>0</v>
      </c>
      <c r="L76" s="176">
        <f t="shared" si="14"/>
        <v>0</v>
      </c>
      <c r="M76" s="168">
        <v>0</v>
      </c>
      <c r="N76" s="329">
        <f t="shared" si="15"/>
        <v>0</v>
      </c>
      <c r="O76" s="124">
        <v>0</v>
      </c>
      <c r="P76" s="329">
        <f t="shared" si="15"/>
        <v>0</v>
      </c>
      <c r="Q76" s="124">
        <v>0</v>
      </c>
      <c r="R76" s="329">
        <f t="shared" si="16"/>
        <v>0</v>
      </c>
      <c r="S76" s="124">
        <f>0</f>
        <v>0</v>
      </c>
      <c r="T76" s="329">
        <f t="shared" si="16"/>
        <v>0</v>
      </c>
      <c r="U76" s="124">
        <v>0</v>
      </c>
      <c r="V76" s="329">
        <f t="shared" si="17"/>
        <v>0</v>
      </c>
      <c r="W76" s="124">
        <v>0</v>
      </c>
      <c r="X76" s="329">
        <f t="shared" si="18"/>
        <v>0</v>
      </c>
      <c r="Y76" s="124">
        <v>0</v>
      </c>
      <c r="Z76" s="329">
        <f t="shared" si="19"/>
        <v>0</v>
      </c>
      <c r="AB76" s="662">
        <f t="shared" si="20"/>
        <v>0</v>
      </c>
      <c r="AC76" s="665">
        <f t="shared" si="21"/>
        <v>0</v>
      </c>
    </row>
    <row r="77" spans="2:30" ht="12" x14ac:dyDescent="0.2">
      <c r="B77" s="94" t="s">
        <v>60</v>
      </c>
      <c r="C77" s="168">
        <v>0</v>
      </c>
      <c r="D77" s="169">
        <f t="shared" si="22"/>
        <v>0</v>
      </c>
      <c r="E77" s="124">
        <v>0</v>
      </c>
      <c r="F77" s="176">
        <f t="shared" si="13"/>
        <v>0</v>
      </c>
      <c r="G77" s="168">
        <v>0</v>
      </c>
      <c r="H77" s="329">
        <f t="shared" si="13"/>
        <v>0</v>
      </c>
      <c r="I77" s="124">
        <v>0</v>
      </c>
      <c r="J77" s="176">
        <f t="shared" si="14"/>
        <v>0</v>
      </c>
      <c r="K77" s="168">
        <v>0</v>
      </c>
      <c r="L77" s="176">
        <f t="shared" si="14"/>
        <v>0</v>
      </c>
      <c r="M77" s="168">
        <v>0</v>
      </c>
      <c r="N77" s="329">
        <f t="shared" si="15"/>
        <v>0</v>
      </c>
      <c r="O77" s="124">
        <v>0</v>
      </c>
      <c r="P77" s="329">
        <f t="shared" si="15"/>
        <v>0</v>
      </c>
      <c r="Q77" s="124">
        <v>0</v>
      </c>
      <c r="R77" s="329">
        <f t="shared" si="16"/>
        <v>0</v>
      </c>
      <c r="S77" s="124">
        <f>0</f>
        <v>0</v>
      </c>
      <c r="T77" s="329">
        <f t="shared" si="16"/>
        <v>0</v>
      </c>
      <c r="U77" s="124">
        <v>0</v>
      </c>
      <c r="V77" s="329">
        <f t="shared" si="17"/>
        <v>0</v>
      </c>
      <c r="W77" s="124">
        <v>0</v>
      </c>
      <c r="X77" s="329">
        <f t="shared" si="18"/>
        <v>0</v>
      </c>
      <c r="Y77" s="124">
        <v>0</v>
      </c>
      <c r="Z77" s="329">
        <f t="shared" si="19"/>
        <v>0</v>
      </c>
      <c r="AB77" s="662">
        <f t="shared" si="20"/>
        <v>0</v>
      </c>
      <c r="AC77" s="665">
        <f t="shared" si="21"/>
        <v>0</v>
      </c>
    </row>
    <row r="78" spans="2:30" ht="12" x14ac:dyDescent="0.2">
      <c r="B78" s="94" t="s">
        <v>61</v>
      </c>
      <c r="C78" s="168">
        <v>0</v>
      </c>
      <c r="D78" s="169">
        <f t="shared" si="22"/>
        <v>0</v>
      </c>
      <c r="E78" s="124">
        <v>2</v>
      </c>
      <c r="F78" s="176">
        <f t="shared" si="13"/>
        <v>0.2</v>
      </c>
      <c r="G78" s="168">
        <v>0</v>
      </c>
      <c r="H78" s="329">
        <f t="shared" si="13"/>
        <v>0</v>
      </c>
      <c r="I78" s="124">
        <v>0</v>
      </c>
      <c r="J78" s="176">
        <f t="shared" si="14"/>
        <v>0</v>
      </c>
      <c r="K78" s="168">
        <v>0</v>
      </c>
      <c r="L78" s="176">
        <f t="shared" si="14"/>
        <v>0</v>
      </c>
      <c r="M78" s="168">
        <v>1</v>
      </c>
      <c r="N78" s="329">
        <f t="shared" si="15"/>
        <v>0.1111111111111111</v>
      </c>
      <c r="O78" s="124">
        <v>2</v>
      </c>
      <c r="P78" s="329">
        <f t="shared" si="15"/>
        <v>0.22222222222222221</v>
      </c>
      <c r="Q78" s="124">
        <v>2</v>
      </c>
      <c r="R78" s="329">
        <f t="shared" si="16"/>
        <v>0.22222222222222221</v>
      </c>
      <c r="S78" s="124">
        <f>2</f>
        <v>2</v>
      </c>
      <c r="T78" s="329">
        <f t="shared" si="16"/>
        <v>0.2</v>
      </c>
      <c r="U78" s="124">
        <v>2</v>
      </c>
      <c r="V78" s="329">
        <f t="shared" si="17"/>
        <v>0.18181818181818182</v>
      </c>
      <c r="W78" s="124">
        <v>1</v>
      </c>
      <c r="X78" s="329">
        <f t="shared" si="18"/>
        <v>8.3333333333333329E-2</v>
      </c>
      <c r="Y78" s="124">
        <v>1</v>
      </c>
      <c r="Z78" s="329">
        <f t="shared" si="19"/>
        <v>8.3333333333333329E-2</v>
      </c>
      <c r="AB78" s="662">
        <f t="shared" si="20"/>
        <v>1.6</v>
      </c>
      <c r="AC78" s="665">
        <f t="shared" si="21"/>
        <v>0.15414141414141416</v>
      </c>
      <c r="AD78" s="1" t="s">
        <v>19</v>
      </c>
    </row>
    <row r="79" spans="2:30" ht="12" x14ac:dyDescent="0.2">
      <c r="B79" s="94" t="s">
        <v>62</v>
      </c>
      <c r="C79" s="168">
        <v>2</v>
      </c>
      <c r="D79" s="169">
        <f t="shared" si="22"/>
        <v>0.22222222222222221</v>
      </c>
      <c r="E79" s="124">
        <v>0</v>
      </c>
      <c r="F79" s="176">
        <f t="shared" si="13"/>
        <v>0</v>
      </c>
      <c r="G79" s="168">
        <v>2</v>
      </c>
      <c r="H79" s="329">
        <f t="shared" si="13"/>
        <v>0.25</v>
      </c>
      <c r="I79" s="124">
        <v>2</v>
      </c>
      <c r="J79" s="176">
        <f t="shared" si="14"/>
        <v>0.25</v>
      </c>
      <c r="K79" s="168">
        <v>2</v>
      </c>
      <c r="L79" s="176">
        <f t="shared" si="14"/>
        <v>0.25</v>
      </c>
      <c r="M79" s="168">
        <v>1</v>
      </c>
      <c r="N79" s="329">
        <f t="shared" si="15"/>
        <v>0.1111111111111111</v>
      </c>
      <c r="O79" s="124">
        <v>0</v>
      </c>
      <c r="P79" s="329">
        <f t="shared" si="15"/>
        <v>0</v>
      </c>
      <c r="Q79" s="124">
        <v>0</v>
      </c>
      <c r="R79" s="329">
        <f t="shared" si="16"/>
        <v>0</v>
      </c>
      <c r="S79" s="124">
        <f>1</f>
        <v>1</v>
      </c>
      <c r="T79" s="329">
        <f t="shared" si="16"/>
        <v>0.1</v>
      </c>
      <c r="U79" s="124">
        <v>0</v>
      </c>
      <c r="V79" s="329">
        <f t="shared" si="17"/>
        <v>0</v>
      </c>
      <c r="W79" s="124">
        <v>2</v>
      </c>
      <c r="X79" s="329">
        <f t="shared" si="18"/>
        <v>0.16666666666666666</v>
      </c>
      <c r="Y79" s="124">
        <v>1</v>
      </c>
      <c r="Z79" s="329">
        <f t="shared" si="19"/>
        <v>8.3333333333333329E-2</v>
      </c>
      <c r="AB79" s="662">
        <f t="shared" si="20"/>
        <v>0.8</v>
      </c>
      <c r="AC79" s="665">
        <f t="shared" si="21"/>
        <v>6.9999999999999993E-2</v>
      </c>
    </row>
    <row r="80" spans="2:30" ht="12" x14ac:dyDescent="0.2">
      <c r="B80" s="94" t="s">
        <v>155</v>
      </c>
      <c r="C80" s="170"/>
      <c r="D80" s="169"/>
      <c r="E80" s="125"/>
      <c r="F80" s="176"/>
      <c r="G80" s="910"/>
      <c r="H80" s="911"/>
      <c r="I80" s="912"/>
      <c r="J80" s="913"/>
      <c r="K80" s="910"/>
      <c r="L80" s="913"/>
      <c r="M80" s="910"/>
      <c r="N80" s="911"/>
      <c r="O80" s="912"/>
      <c r="P80" s="911"/>
      <c r="Q80" s="125">
        <v>0</v>
      </c>
      <c r="R80" s="329">
        <f t="shared" si="16"/>
        <v>0</v>
      </c>
      <c r="S80" s="125">
        <f>0</f>
        <v>0</v>
      </c>
      <c r="T80" s="329">
        <f t="shared" si="16"/>
        <v>0</v>
      </c>
      <c r="U80" s="125">
        <v>0</v>
      </c>
      <c r="V80" s="329">
        <f t="shared" si="17"/>
        <v>0</v>
      </c>
      <c r="W80" s="125">
        <v>0</v>
      </c>
      <c r="X80" s="329">
        <f t="shared" si="18"/>
        <v>0</v>
      </c>
      <c r="Y80" s="125">
        <v>0</v>
      </c>
      <c r="Z80" s="329">
        <f t="shared" si="19"/>
        <v>0</v>
      </c>
      <c r="AB80" s="662">
        <f t="shared" si="20"/>
        <v>0</v>
      </c>
      <c r="AC80" s="665">
        <f t="shared" si="21"/>
        <v>0</v>
      </c>
    </row>
    <row r="81" spans="1:31" ht="12" x14ac:dyDescent="0.2">
      <c r="B81" s="94" t="s">
        <v>63</v>
      </c>
      <c r="C81" s="170">
        <v>0</v>
      </c>
      <c r="D81" s="169">
        <f t="shared" si="22"/>
        <v>0</v>
      </c>
      <c r="E81" s="125">
        <v>0</v>
      </c>
      <c r="F81" s="176">
        <f t="shared" si="13"/>
        <v>0</v>
      </c>
      <c r="G81" s="170">
        <v>0</v>
      </c>
      <c r="H81" s="329">
        <f t="shared" si="13"/>
        <v>0</v>
      </c>
      <c r="I81" s="125">
        <v>0</v>
      </c>
      <c r="J81" s="176">
        <f t="shared" si="14"/>
        <v>0</v>
      </c>
      <c r="K81" s="170">
        <v>0</v>
      </c>
      <c r="L81" s="176">
        <f t="shared" si="14"/>
        <v>0</v>
      </c>
      <c r="M81" s="170">
        <v>0</v>
      </c>
      <c r="N81" s="329">
        <f t="shared" si="15"/>
        <v>0</v>
      </c>
      <c r="O81" s="125">
        <v>0</v>
      </c>
      <c r="P81" s="329">
        <f t="shared" si="15"/>
        <v>0</v>
      </c>
      <c r="Q81" s="125">
        <v>0</v>
      </c>
      <c r="R81" s="329">
        <f t="shared" si="16"/>
        <v>0</v>
      </c>
      <c r="S81" s="125">
        <f>1</f>
        <v>1</v>
      </c>
      <c r="T81" s="329">
        <f t="shared" si="16"/>
        <v>0.1</v>
      </c>
      <c r="U81" s="125">
        <v>1</v>
      </c>
      <c r="V81" s="329">
        <f t="shared" si="17"/>
        <v>9.0909090909090912E-2</v>
      </c>
      <c r="W81" s="125">
        <v>1</v>
      </c>
      <c r="X81" s="329">
        <f t="shared" si="18"/>
        <v>8.3333333333333329E-2</v>
      </c>
      <c r="Y81" s="125">
        <v>1</v>
      </c>
      <c r="Z81" s="329">
        <f t="shared" si="19"/>
        <v>8.3333333333333329E-2</v>
      </c>
      <c r="AB81" s="662">
        <f t="shared" si="20"/>
        <v>0.8</v>
      </c>
      <c r="AC81" s="665">
        <f t="shared" si="21"/>
        <v>7.1515151515151518E-2</v>
      </c>
    </row>
    <row r="82" spans="1:31" ht="12" x14ac:dyDescent="0.2">
      <c r="B82" s="419" t="s">
        <v>77</v>
      </c>
      <c r="C82" s="171"/>
      <c r="D82" s="169"/>
      <c r="E82" s="180"/>
      <c r="F82" s="221"/>
      <c r="G82" s="249"/>
      <c r="H82" s="330"/>
      <c r="I82" s="180"/>
      <c r="J82" s="221"/>
      <c r="K82" s="249"/>
      <c r="L82" s="221"/>
      <c r="M82" s="249"/>
      <c r="N82" s="330"/>
      <c r="O82" s="180"/>
      <c r="P82" s="330"/>
      <c r="Q82" s="180"/>
      <c r="R82" s="330"/>
      <c r="S82" s="180"/>
      <c r="T82" s="330"/>
      <c r="U82" s="180"/>
      <c r="V82" s="330"/>
      <c r="W82" s="180"/>
      <c r="X82" s="330"/>
      <c r="Y82" s="180"/>
      <c r="Z82" s="330"/>
      <c r="AB82" s="666"/>
      <c r="AC82" s="663"/>
    </row>
    <row r="83" spans="1:31" ht="12" x14ac:dyDescent="0.2">
      <c r="B83" s="45" t="s">
        <v>64</v>
      </c>
      <c r="C83" s="183">
        <v>5</v>
      </c>
      <c r="D83" s="169">
        <f t="shared" si="22"/>
        <v>0.55555555555555558</v>
      </c>
      <c r="E83" s="52">
        <v>6</v>
      </c>
      <c r="F83" s="222">
        <f>E83/F$72</f>
        <v>0.6</v>
      </c>
      <c r="G83" s="183">
        <v>4</v>
      </c>
      <c r="H83" s="331">
        <f>G83/H$72</f>
        <v>0.5</v>
      </c>
      <c r="I83" s="101">
        <v>5</v>
      </c>
      <c r="J83" s="176">
        <f>I83/J$72</f>
        <v>0.625</v>
      </c>
      <c r="K83" s="183">
        <v>5</v>
      </c>
      <c r="L83" s="176">
        <f>K83/L$72</f>
        <v>0.625</v>
      </c>
      <c r="M83" s="183">
        <v>4</v>
      </c>
      <c r="N83" s="329">
        <f>M83/N$72</f>
        <v>0.44444444444444442</v>
      </c>
      <c r="O83" s="101">
        <v>4</v>
      </c>
      <c r="P83" s="329">
        <f>O83/P$72</f>
        <v>0.44444444444444442</v>
      </c>
      <c r="Q83" s="101">
        <v>4</v>
      </c>
      <c r="R83" s="329">
        <f>Q83/R$72</f>
        <v>0.44444444444444442</v>
      </c>
      <c r="S83" s="101">
        <f>4</f>
        <v>4</v>
      </c>
      <c r="T83" s="329">
        <f>S83/T$72</f>
        <v>0.4</v>
      </c>
      <c r="U83" s="101">
        <v>4</v>
      </c>
      <c r="V83" s="329">
        <f>U83/V$72</f>
        <v>0.36363636363636365</v>
      </c>
      <c r="W83" s="101">
        <v>5</v>
      </c>
      <c r="X83" s="329">
        <f>W83/X$72</f>
        <v>0.41666666666666669</v>
      </c>
      <c r="Y83" s="101">
        <v>4</v>
      </c>
      <c r="Z83" s="329">
        <f>Y83/Z$72</f>
        <v>0.33333333333333331</v>
      </c>
      <c r="AB83" s="662">
        <f t="shared" ref="AB83:AB84" si="23">AVERAGE(W83,U83,S83,Q83,Y83)</f>
        <v>4.2</v>
      </c>
      <c r="AC83" s="665">
        <f t="shared" ref="AC83:AC84" si="24">AVERAGE(X83,V83,T83,R83,Z83)</f>
        <v>0.39161616161616158</v>
      </c>
    </row>
    <row r="84" spans="1:31" ht="12" x14ac:dyDescent="0.2">
      <c r="B84" s="45" t="s">
        <v>65</v>
      </c>
      <c r="C84" s="183">
        <v>4</v>
      </c>
      <c r="D84" s="169">
        <f t="shared" si="22"/>
        <v>0.44444444444444442</v>
      </c>
      <c r="E84" s="178">
        <v>4</v>
      </c>
      <c r="F84" s="222">
        <f>E84/F$72</f>
        <v>0.4</v>
      </c>
      <c r="G84" s="250">
        <v>3</v>
      </c>
      <c r="H84" s="331">
        <f>G84/H$72</f>
        <v>0.375</v>
      </c>
      <c r="I84" s="323">
        <v>3</v>
      </c>
      <c r="J84" s="176">
        <f>I84/J$72</f>
        <v>0.375</v>
      </c>
      <c r="K84" s="250">
        <v>3</v>
      </c>
      <c r="L84" s="176">
        <f>K84/L$72</f>
        <v>0.375</v>
      </c>
      <c r="M84" s="250">
        <v>5</v>
      </c>
      <c r="N84" s="329">
        <f>M84/N$72</f>
        <v>0.55555555555555558</v>
      </c>
      <c r="O84" s="323">
        <v>5</v>
      </c>
      <c r="P84" s="329">
        <f>O84/P$72</f>
        <v>0.55555555555555558</v>
      </c>
      <c r="Q84" s="323">
        <v>5</v>
      </c>
      <c r="R84" s="329">
        <f>Q84/R$72</f>
        <v>0.55555555555555558</v>
      </c>
      <c r="S84" s="323">
        <f>6</f>
        <v>6</v>
      </c>
      <c r="T84" s="329">
        <f>S84/T$72</f>
        <v>0.6</v>
      </c>
      <c r="U84" s="323">
        <v>7</v>
      </c>
      <c r="V84" s="329">
        <f>U84/V$72</f>
        <v>0.63636363636363635</v>
      </c>
      <c r="W84" s="323">
        <v>7</v>
      </c>
      <c r="X84" s="329">
        <f>W84/X$72</f>
        <v>0.58333333333333337</v>
      </c>
      <c r="Y84" s="323">
        <v>8</v>
      </c>
      <c r="Z84" s="329">
        <f>Y84/Z$72</f>
        <v>0.66666666666666663</v>
      </c>
      <c r="AB84" s="662">
        <f t="shared" si="23"/>
        <v>6.6</v>
      </c>
      <c r="AC84" s="665">
        <f t="shared" si="24"/>
        <v>0.60838383838383847</v>
      </c>
    </row>
    <row r="85" spans="1:31" ht="12" x14ac:dyDescent="0.2">
      <c r="B85" s="419" t="s">
        <v>78</v>
      </c>
      <c r="C85" s="173"/>
      <c r="D85" s="169"/>
      <c r="E85" s="181"/>
      <c r="F85" s="222"/>
      <c r="G85" s="251"/>
      <c r="H85" s="331"/>
      <c r="I85" s="324"/>
      <c r="J85" s="176"/>
      <c r="K85" s="251"/>
      <c r="L85" s="176"/>
      <c r="M85" s="251"/>
      <c r="N85" s="329"/>
      <c r="O85" s="324"/>
      <c r="P85" s="329"/>
      <c r="Q85" s="324"/>
      <c r="R85" s="329"/>
      <c r="S85" s="324"/>
      <c r="T85" s="329"/>
      <c r="U85" s="324"/>
      <c r="V85" s="329"/>
      <c r="W85" s="324"/>
      <c r="X85" s="329"/>
      <c r="Y85" s="324"/>
      <c r="Z85" s="329"/>
      <c r="AB85" s="673"/>
      <c r="AC85" s="674"/>
    </row>
    <row r="86" spans="1:31" ht="12" x14ac:dyDescent="0.2">
      <c r="B86" s="45" t="s">
        <v>66</v>
      </c>
      <c r="C86" s="179">
        <v>5</v>
      </c>
      <c r="D86" s="169">
        <f t="shared" si="22"/>
        <v>0.55555555555555558</v>
      </c>
      <c r="E86" s="178">
        <v>4</v>
      </c>
      <c r="F86" s="222">
        <f>E86/F$72</f>
        <v>0.4</v>
      </c>
      <c r="G86" s="250">
        <v>3</v>
      </c>
      <c r="H86" s="331">
        <f>G86/H$72</f>
        <v>0.375</v>
      </c>
      <c r="I86" s="323">
        <v>3</v>
      </c>
      <c r="J86" s="176">
        <f>I86/J$72</f>
        <v>0.375</v>
      </c>
      <c r="K86" s="250">
        <v>3</v>
      </c>
      <c r="L86" s="176">
        <f>K86/L$72</f>
        <v>0.375</v>
      </c>
      <c r="M86" s="250">
        <v>3</v>
      </c>
      <c r="N86" s="329">
        <f>M86/N$72</f>
        <v>0.33333333333333331</v>
      </c>
      <c r="O86" s="323">
        <v>3</v>
      </c>
      <c r="P86" s="329">
        <f>O86/P$72</f>
        <v>0.33333333333333331</v>
      </c>
      <c r="Q86" s="323">
        <v>3</v>
      </c>
      <c r="R86" s="329">
        <f>Q86/R$72</f>
        <v>0.33333333333333331</v>
      </c>
      <c r="S86" s="323">
        <f>3</f>
        <v>3</v>
      </c>
      <c r="T86" s="329">
        <f>S86/T$72</f>
        <v>0.3</v>
      </c>
      <c r="U86" s="323">
        <v>2</v>
      </c>
      <c r="V86" s="329">
        <f>U86/V$72</f>
        <v>0.18181818181818182</v>
      </c>
      <c r="W86" s="323">
        <v>6</v>
      </c>
      <c r="X86" s="329">
        <f>W86/X$72</f>
        <v>0.5</v>
      </c>
      <c r="Y86" s="323">
        <v>8</v>
      </c>
      <c r="Z86" s="329">
        <f>Y86/Z$72</f>
        <v>0.66666666666666663</v>
      </c>
      <c r="AB86" s="662">
        <f t="shared" ref="AB86:AB88" si="25">AVERAGE(W86,U86,S86,Q86,Y86)</f>
        <v>4.4000000000000004</v>
      </c>
      <c r="AC86" s="665">
        <f t="shared" ref="AC86:AC88" si="26">AVERAGE(X86,V86,T86,R86,Z86)</f>
        <v>0.39636363636363636</v>
      </c>
    </row>
    <row r="87" spans="1:31" ht="12" x14ac:dyDescent="0.2">
      <c r="B87" s="45" t="s">
        <v>67</v>
      </c>
      <c r="C87" s="179">
        <v>2</v>
      </c>
      <c r="D87" s="169">
        <f t="shared" si="22"/>
        <v>0.22222222222222221</v>
      </c>
      <c r="E87" s="178">
        <v>2</v>
      </c>
      <c r="F87" s="222">
        <f>E87/F$72</f>
        <v>0.2</v>
      </c>
      <c r="G87" s="250">
        <v>1</v>
      </c>
      <c r="H87" s="331">
        <f>G87/H$72</f>
        <v>0.125</v>
      </c>
      <c r="I87" s="323">
        <v>2</v>
      </c>
      <c r="J87" s="176">
        <f>I87/J$72</f>
        <v>0.25</v>
      </c>
      <c r="K87" s="250">
        <v>2</v>
      </c>
      <c r="L87" s="176">
        <f>K87/L$72</f>
        <v>0.25</v>
      </c>
      <c r="M87" s="250">
        <v>2</v>
      </c>
      <c r="N87" s="329">
        <f>M87/N$72</f>
        <v>0.22222222222222221</v>
      </c>
      <c r="O87" s="323">
        <v>2</v>
      </c>
      <c r="P87" s="329">
        <f>O87/P$72</f>
        <v>0.22222222222222221</v>
      </c>
      <c r="Q87" s="323">
        <v>2</v>
      </c>
      <c r="R87" s="329">
        <f>Q87/R$72</f>
        <v>0.22222222222222221</v>
      </c>
      <c r="S87" s="323">
        <f>4</f>
        <v>4</v>
      </c>
      <c r="T87" s="329">
        <f>S87/T$72</f>
        <v>0.4</v>
      </c>
      <c r="U87" s="323">
        <v>1</v>
      </c>
      <c r="V87" s="329">
        <f>U87/V$72</f>
        <v>9.0909090909090912E-2</v>
      </c>
      <c r="W87" s="323">
        <v>3</v>
      </c>
      <c r="X87" s="329">
        <f>W87/X$72</f>
        <v>0.25</v>
      </c>
      <c r="Y87" s="323">
        <v>2</v>
      </c>
      <c r="Z87" s="329">
        <f>Y87/Z$72</f>
        <v>0.16666666666666666</v>
      </c>
      <c r="AB87" s="662">
        <f t="shared" si="25"/>
        <v>2.4</v>
      </c>
      <c r="AC87" s="665">
        <f t="shared" si="26"/>
        <v>0.22595959595959597</v>
      </c>
    </row>
    <row r="88" spans="1:31" ht="12" x14ac:dyDescent="0.2">
      <c r="B88" s="45" t="s">
        <v>68</v>
      </c>
      <c r="C88" s="179">
        <v>2</v>
      </c>
      <c r="D88" s="169">
        <f t="shared" si="22"/>
        <v>0.22222222222222221</v>
      </c>
      <c r="E88" s="178">
        <v>4</v>
      </c>
      <c r="F88" s="222">
        <f>E88/F$72</f>
        <v>0.4</v>
      </c>
      <c r="G88" s="250">
        <v>3</v>
      </c>
      <c r="H88" s="331">
        <f>G88/H$72</f>
        <v>0.375</v>
      </c>
      <c r="I88" s="323">
        <v>3</v>
      </c>
      <c r="J88" s="176">
        <f>I88/J$72</f>
        <v>0.375</v>
      </c>
      <c r="K88" s="250">
        <v>3</v>
      </c>
      <c r="L88" s="176">
        <f>K88/L$72</f>
        <v>0.375</v>
      </c>
      <c r="M88" s="250">
        <v>4</v>
      </c>
      <c r="N88" s="329">
        <f>M88/N$72</f>
        <v>0.44444444444444442</v>
      </c>
      <c r="O88" s="323">
        <v>4</v>
      </c>
      <c r="P88" s="329">
        <f>O88/P$72</f>
        <v>0.44444444444444442</v>
      </c>
      <c r="Q88" s="323">
        <v>4</v>
      </c>
      <c r="R88" s="329">
        <f>Q88/R$72</f>
        <v>0.44444444444444442</v>
      </c>
      <c r="S88" s="323">
        <f>3</f>
        <v>3</v>
      </c>
      <c r="T88" s="329">
        <f>S88/T$72</f>
        <v>0.3</v>
      </c>
      <c r="U88" s="323">
        <v>4</v>
      </c>
      <c r="V88" s="329">
        <f>U88/V$72</f>
        <v>0.36363636363636365</v>
      </c>
      <c r="W88" s="323">
        <v>3</v>
      </c>
      <c r="X88" s="329">
        <f>W88/X$72</f>
        <v>0.25</v>
      </c>
      <c r="Y88" s="323">
        <v>2</v>
      </c>
      <c r="Z88" s="329">
        <f>Y88/Z$72</f>
        <v>0.16666666666666666</v>
      </c>
      <c r="AB88" s="662">
        <f t="shared" si="25"/>
        <v>3.2</v>
      </c>
      <c r="AC88" s="665">
        <f t="shared" si="26"/>
        <v>0.30494949494949497</v>
      </c>
    </row>
    <row r="89" spans="1:31" ht="12" x14ac:dyDescent="0.2">
      <c r="B89" s="419" t="s">
        <v>79</v>
      </c>
      <c r="C89" s="173"/>
      <c r="D89" s="169"/>
      <c r="E89" s="181"/>
      <c r="F89" s="222"/>
      <c r="G89" s="251"/>
      <c r="H89" s="331"/>
      <c r="I89" s="324"/>
      <c r="J89" s="176"/>
      <c r="K89" s="251"/>
      <c r="L89" s="176"/>
      <c r="M89" s="251"/>
      <c r="N89" s="329"/>
      <c r="O89" s="324"/>
      <c r="P89" s="329"/>
      <c r="Q89" s="324"/>
      <c r="R89" s="329"/>
      <c r="S89" s="324"/>
      <c r="T89" s="329"/>
      <c r="U89" s="324"/>
      <c r="V89" s="329"/>
      <c r="W89" s="324"/>
      <c r="X89" s="329"/>
      <c r="Y89" s="324"/>
      <c r="Z89" s="329"/>
      <c r="AB89" s="619"/>
      <c r="AC89" s="618"/>
    </row>
    <row r="90" spans="1:31" ht="12" x14ac:dyDescent="0.2">
      <c r="B90" s="45" t="s">
        <v>69</v>
      </c>
      <c r="C90" s="179">
        <v>5</v>
      </c>
      <c r="D90" s="169">
        <f t="shared" si="22"/>
        <v>0.55555555555555558</v>
      </c>
      <c r="E90" s="178">
        <v>4</v>
      </c>
      <c r="F90" s="222">
        <f>E90/F$72</f>
        <v>0.4</v>
      </c>
      <c r="G90" s="250">
        <v>3</v>
      </c>
      <c r="H90" s="331">
        <f>G90/H$72</f>
        <v>0.375</v>
      </c>
      <c r="I90" s="323">
        <v>4</v>
      </c>
      <c r="J90" s="176">
        <f>I90/J$72</f>
        <v>0.5</v>
      </c>
      <c r="K90" s="250">
        <v>4</v>
      </c>
      <c r="L90" s="176">
        <f>K90/L$72</f>
        <v>0.5</v>
      </c>
      <c r="M90" s="250">
        <v>5</v>
      </c>
      <c r="N90" s="329">
        <f>M90/N$72</f>
        <v>0.55555555555555558</v>
      </c>
      <c r="O90" s="323">
        <v>5</v>
      </c>
      <c r="P90" s="329">
        <f>O90/P$72</f>
        <v>0.55555555555555558</v>
      </c>
      <c r="Q90" s="323">
        <v>5</v>
      </c>
      <c r="R90" s="329">
        <f>Q90/R$72</f>
        <v>0.55555555555555558</v>
      </c>
      <c r="S90" s="323">
        <f>6</f>
        <v>6</v>
      </c>
      <c r="T90" s="329">
        <f>S90/T$72</f>
        <v>0.6</v>
      </c>
      <c r="U90" s="323">
        <v>7</v>
      </c>
      <c r="V90" s="329">
        <f>U90/V$72</f>
        <v>0.63636363636363635</v>
      </c>
      <c r="W90" s="323">
        <v>8</v>
      </c>
      <c r="X90" s="329">
        <f>W90/X$72</f>
        <v>0.66666666666666663</v>
      </c>
      <c r="Y90" s="323">
        <v>9</v>
      </c>
      <c r="Z90" s="329">
        <f>Y90/Z$72</f>
        <v>0.75</v>
      </c>
      <c r="AB90" s="662">
        <f t="shared" ref="AB90:AB93" si="27">AVERAGE(W90,U90,S90,Q90,Y90)</f>
        <v>7</v>
      </c>
      <c r="AC90" s="665">
        <f t="shared" ref="AC90:AC93" si="28">AVERAGE(X90,V90,T90,R90,Z90)</f>
        <v>0.64171717171717169</v>
      </c>
    </row>
    <row r="91" spans="1:31" ht="12" x14ac:dyDescent="0.2">
      <c r="B91" s="45" t="s">
        <v>70</v>
      </c>
      <c r="C91" s="179">
        <v>4</v>
      </c>
      <c r="D91" s="169">
        <f t="shared" si="22"/>
        <v>0.44444444444444442</v>
      </c>
      <c r="E91" s="178">
        <v>6</v>
      </c>
      <c r="F91" s="222">
        <f>E91/F$72</f>
        <v>0.6</v>
      </c>
      <c r="G91" s="250">
        <v>4</v>
      </c>
      <c r="H91" s="331">
        <f>G91/H$72</f>
        <v>0.5</v>
      </c>
      <c r="I91" s="323">
        <v>4</v>
      </c>
      <c r="J91" s="176">
        <f>I91/J$72</f>
        <v>0.5</v>
      </c>
      <c r="K91" s="250">
        <v>4</v>
      </c>
      <c r="L91" s="176">
        <f>K91/L$72</f>
        <v>0.5</v>
      </c>
      <c r="M91" s="250">
        <v>4</v>
      </c>
      <c r="N91" s="329">
        <f>M91/N$72</f>
        <v>0.44444444444444442</v>
      </c>
      <c r="O91" s="323">
        <v>4</v>
      </c>
      <c r="P91" s="329">
        <f>O91/P$72</f>
        <v>0.44444444444444442</v>
      </c>
      <c r="Q91" s="323">
        <v>4</v>
      </c>
      <c r="R91" s="329">
        <f>Q91/R$72</f>
        <v>0.44444444444444442</v>
      </c>
      <c r="S91" s="323">
        <f>4</f>
        <v>4</v>
      </c>
      <c r="T91" s="329">
        <f>S91/T$72</f>
        <v>0.4</v>
      </c>
      <c r="U91" s="323">
        <v>4</v>
      </c>
      <c r="V91" s="329">
        <f>U91/V$72</f>
        <v>0.36363636363636365</v>
      </c>
      <c r="W91" s="323">
        <v>4</v>
      </c>
      <c r="X91" s="329">
        <f>W91/X$72</f>
        <v>0.33333333333333331</v>
      </c>
      <c r="Y91" s="323">
        <v>3</v>
      </c>
      <c r="Z91" s="329">
        <f>Y91/Z$72</f>
        <v>0.25</v>
      </c>
      <c r="AB91" s="662">
        <f t="shared" si="27"/>
        <v>3.8</v>
      </c>
      <c r="AC91" s="665">
        <f t="shared" si="28"/>
        <v>0.35828282828282831</v>
      </c>
    </row>
    <row r="92" spans="1:31" ht="12" x14ac:dyDescent="0.2">
      <c r="B92" s="45" t="s">
        <v>71</v>
      </c>
      <c r="C92" s="179">
        <v>0</v>
      </c>
      <c r="D92" s="169">
        <f t="shared" si="22"/>
        <v>0</v>
      </c>
      <c r="E92" s="178">
        <v>0</v>
      </c>
      <c r="F92" s="222">
        <f>E92/F$72</f>
        <v>0</v>
      </c>
      <c r="G92" s="250">
        <v>0</v>
      </c>
      <c r="H92" s="331">
        <f>G92/H$72</f>
        <v>0</v>
      </c>
      <c r="I92" s="323">
        <v>0</v>
      </c>
      <c r="J92" s="176">
        <f>I92/J$72</f>
        <v>0</v>
      </c>
      <c r="K92" s="250">
        <v>0</v>
      </c>
      <c r="L92" s="176">
        <f>K92/L$72</f>
        <v>0</v>
      </c>
      <c r="M92" s="250">
        <v>0</v>
      </c>
      <c r="N92" s="329">
        <f>M92/N$72</f>
        <v>0</v>
      </c>
      <c r="O92" s="323">
        <v>0</v>
      </c>
      <c r="P92" s="329">
        <f>O92/P$72</f>
        <v>0</v>
      </c>
      <c r="Q92" s="323">
        <v>0</v>
      </c>
      <c r="R92" s="329">
        <f>Q92/R$72</f>
        <v>0</v>
      </c>
      <c r="S92" s="323">
        <f>0</f>
        <v>0</v>
      </c>
      <c r="T92" s="329">
        <f>S92/T$72</f>
        <v>0</v>
      </c>
      <c r="U92" s="323">
        <v>0</v>
      </c>
      <c r="V92" s="329">
        <f>U92/V$72</f>
        <v>0</v>
      </c>
      <c r="W92" s="323">
        <v>0</v>
      </c>
      <c r="X92" s="329">
        <f>W92/X$72</f>
        <v>0</v>
      </c>
      <c r="Y92" s="323">
        <v>0</v>
      </c>
      <c r="Z92" s="329">
        <f>Y92/Z$72</f>
        <v>0</v>
      </c>
      <c r="AB92" s="662">
        <f t="shared" si="27"/>
        <v>0</v>
      </c>
      <c r="AC92" s="665">
        <f t="shared" si="28"/>
        <v>0</v>
      </c>
    </row>
    <row r="93" spans="1:31" thickBot="1" x14ac:dyDescent="0.25">
      <c r="B93" s="120" t="s">
        <v>72</v>
      </c>
      <c r="C93" s="174">
        <v>0</v>
      </c>
      <c r="D93" s="175">
        <f t="shared" si="22"/>
        <v>0</v>
      </c>
      <c r="E93" s="182">
        <v>0</v>
      </c>
      <c r="F93" s="223">
        <f>E93/F$72</f>
        <v>0</v>
      </c>
      <c r="G93" s="252">
        <v>0</v>
      </c>
      <c r="H93" s="332">
        <f>G93/H$72</f>
        <v>0</v>
      </c>
      <c r="I93" s="325">
        <v>0</v>
      </c>
      <c r="J93" s="177">
        <f>I93/J$72</f>
        <v>0</v>
      </c>
      <c r="K93" s="252">
        <v>0</v>
      </c>
      <c r="L93" s="177">
        <f>K93/L$72</f>
        <v>0</v>
      </c>
      <c r="M93" s="252">
        <v>0</v>
      </c>
      <c r="N93" s="342">
        <f>M93/N$72</f>
        <v>0</v>
      </c>
      <c r="O93" s="325">
        <v>0</v>
      </c>
      <c r="P93" s="342">
        <f>O93/P$72</f>
        <v>0</v>
      </c>
      <c r="Q93" s="325">
        <v>0</v>
      </c>
      <c r="R93" s="342">
        <f>Q93/R$72</f>
        <v>0</v>
      </c>
      <c r="S93" s="325">
        <f>0</f>
        <v>0</v>
      </c>
      <c r="T93" s="342">
        <f>S93/T$72</f>
        <v>0</v>
      </c>
      <c r="U93" s="325">
        <v>0</v>
      </c>
      <c r="V93" s="342">
        <f>U93/V$72</f>
        <v>0</v>
      </c>
      <c r="W93" s="325">
        <v>0</v>
      </c>
      <c r="X93" s="342">
        <f>W93/X$72</f>
        <v>0</v>
      </c>
      <c r="Y93" s="325">
        <v>0</v>
      </c>
      <c r="Z93" s="342">
        <f>Y93/Z$72</f>
        <v>0</v>
      </c>
      <c r="AB93" s="667">
        <f t="shared" si="27"/>
        <v>0</v>
      </c>
      <c r="AC93" s="668">
        <f t="shared" si="28"/>
        <v>0</v>
      </c>
    </row>
    <row r="94" spans="1:31" ht="14.25" customHeight="1" thickTop="1" thickBot="1" x14ac:dyDescent="0.25">
      <c r="A94" s="272"/>
      <c r="B94" s="524" t="s">
        <v>104</v>
      </c>
      <c r="C94" s="1292" t="s">
        <v>27</v>
      </c>
      <c r="D94" s="1293"/>
      <c r="E94" s="1294" t="s">
        <v>28</v>
      </c>
      <c r="F94" s="1294"/>
      <c r="G94" s="1267" t="s">
        <v>83</v>
      </c>
      <c r="H94" s="1251"/>
      <c r="I94" s="1250" t="s">
        <v>93</v>
      </c>
      <c r="J94" s="1250"/>
      <c r="K94" s="1267" t="s">
        <v>94</v>
      </c>
      <c r="L94" s="1250"/>
      <c r="M94" s="1267" t="s">
        <v>100</v>
      </c>
      <c r="N94" s="1251"/>
      <c r="O94" s="1250" t="s">
        <v>143</v>
      </c>
      <c r="P94" s="1251"/>
      <c r="Q94" s="1250" t="s">
        <v>149</v>
      </c>
      <c r="R94" s="1251"/>
      <c r="S94" s="1250" t="s">
        <v>167</v>
      </c>
      <c r="T94" s="1251"/>
      <c r="U94" s="1250" t="s">
        <v>181</v>
      </c>
      <c r="V94" s="1251"/>
      <c r="W94" s="1250" t="s">
        <v>194</v>
      </c>
      <c r="X94" s="1251"/>
      <c r="Y94" s="1250" t="s">
        <v>203</v>
      </c>
      <c r="Z94" s="1251"/>
      <c r="AB94" s="1259" t="s">
        <v>133</v>
      </c>
      <c r="AC94" s="1268"/>
      <c r="AD94"/>
      <c r="AE94"/>
    </row>
    <row r="95" spans="1:31" ht="14.25" customHeight="1" x14ac:dyDescent="0.2">
      <c r="A95" s="272"/>
      <c r="B95" s="525"/>
      <c r="C95" s="67" t="s">
        <v>74</v>
      </c>
      <c r="D95" s="526" t="s">
        <v>18</v>
      </c>
      <c r="E95" s="67" t="s">
        <v>74</v>
      </c>
      <c r="F95" s="526" t="s">
        <v>18</v>
      </c>
      <c r="G95" s="67" t="s">
        <v>74</v>
      </c>
      <c r="H95" s="526" t="s">
        <v>18</v>
      </c>
      <c r="I95" s="67" t="s">
        <v>74</v>
      </c>
      <c r="J95" s="526" t="s">
        <v>18</v>
      </c>
      <c r="K95" s="67" t="s">
        <v>74</v>
      </c>
      <c r="L95" s="526" t="s">
        <v>18</v>
      </c>
      <c r="M95" s="67" t="s">
        <v>74</v>
      </c>
      <c r="N95" s="526" t="s">
        <v>18</v>
      </c>
      <c r="O95" s="808" t="s">
        <v>74</v>
      </c>
      <c r="P95" s="526" t="s">
        <v>18</v>
      </c>
      <c r="Q95" s="921" t="s">
        <v>74</v>
      </c>
      <c r="R95" s="526" t="s">
        <v>18</v>
      </c>
      <c r="S95" s="921" t="s">
        <v>74</v>
      </c>
      <c r="T95" s="526" t="s">
        <v>18</v>
      </c>
      <c r="U95" s="921" t="s">
        <v>74</v>
      </c>
      <c r="V95" s="526" t="s">
        <v>18</v>
      </c>
      <c r="W95" s="921" t="s">
        <v>74</v>
      </c>
      <c r="X95" s="526" t="s">
        <v>18</v>
      </c>
      <c r="Y95" s="921" t="s">
        <v>74</v>
      </c>
      <c r="Z95" s="526" t="s">
        <v>18</v>
      </c>
      <c r="AA95" s="272"/>
      <c r="AB95" s="623" t="s">
        <v>74</v>
      </c>
      <c r="AC95" s="527" t="s">
        <v>18</v>
      </c>
      <c r="AD95"/>
      <c r="AE95"/>
    </row>
    <row r="96" spans="1:31" ht="14.25" customHeight="1" x14ac:dyDescent="0.2">
      <c r="A96" s="272"/>
      <c r="B96" s="417" t="s">
        <v>105</v>
      </c>
      <c r="C96" s="66">
        <v>2</v>
      </c>
      <c r="D96" s="528">
        <v>1</v>
      </c>
      <c r="E96" s="203">
        <v>4</v>
      </c>
      <c r="F96" s="529">
        <v>2</v>
      </c>
      <c r="G96" s="203">
        <v>4</v>
      </c>
      <c r="H96" s="529">
        <v>2</v>
      </c>
      <c r="I96" s="203">
        <v>5</v>
      </c>
      <c r="J96" s="529">
        <v>2.5</v>
      </c>
      <c r="K96" s="67">
        <v>4</v>
      </c>
      <c r="L96" s="529">
        <v>2</v>
      </c>
      <c r="M96" s="598">
        <v>6</v>
      </c>
      <c r="N96" s="823">
        <v>3</v>
      </c>
      <c r="O96" s="598">
        <v>7</v>
      </c>
      <c r="P96" s="823">
        <v>3.5</v>
      </c>
      <c r="Q96" s="598">
        <v>7</v>
      </c>
      <c r="R96" s="908">
        <v>3.5</v>
      </c>
      <c r="S96" s="598">
        <v>8</v>
      </c>
      <c r="T96" s="908">
        <v>4</v>
      </c>
      <c r="U96" s="598">
        <v>4</v>
      </c>
      <c r="V96" s="908">
        <v>2</v>
      </c>
      <c r="W96" s="598">
        <v>3</v>
      </c>
      <c r="X96" s="908">
        <v>1.5</v>
      </c>
      <c r="Y96" s="598">
        <v>5</v>
      </c>
      <c r="Z96" s="908">
        <v>2.5</v>
      </c>
      <c r="AA96" s="272"/>
      <c r="AB96" s="637">
        <f t="shared" ref="AB96:AB98" si="29">AVERAGE(W96,U96,S96,Q96,Y96)</f>
        <v>5.4</v>
      </c>
      <c r="AC96" s="743">
        <f t="shared" ref="AC96:AC98" si="30">AVERAGE(X96,V96,T96,R96,Z96)</f>
        <v>2.7</v>
      </c>
      <c r="AD96"/>
      <c r="AE96"/>
    </row>
    <row r="97" spans="1:31" ht="14.25" customHeight="1" x14ac:dyDescent="0.2">
      <c r="A97" s="272"/>
      <c r="B97" s="417" t="s">
        <v>106</v>
      </c>
      <c r="C97" s="66">
        <v>6</v>
      </c>
      <c r="D97" s="528">
        <v>3</v>
      </c>
      <c r="E97" s="203">
        <v>5</v>
      </c>
      <c r="F97" s="529">
        <v>2.5</v>
      </c>
      <c r="G97" s="203">
        <v>5</v>
      </c>
      <c r="H97" s="529">
        <v>2.5</v>
      </c>
      <c r="I97" s="203">
        <v>9</v>
      </c>
      <c r="J97" s="529">
        <v>4.3</v>
      </c>
      <c r="K97" s="67">
        <v>7</v>
      </c>
      <c r="L97" s="529">
        <v>3.5</v>
      </c>
      <c r="M97" s="598">
        <v>6</v>
      </c>
      <c r="N97" s="823">
        <v>3</v>
      </c>
      <c r="O97" s="598">
        <v>3</v>
      </c>
      <c r="P97" s="823">
        <v>1.5</v>
      </c>
      <c r="Q97" s="598">
        <v>4</v>
      </c>
      <c r="R97" s="908">
        <v>2</v>
      </c>
      <c r="S97" s="598">
        <v>6</v>
      </c>
      <c r="T97" s="908">
        <v>3</v>
      </c>
      <c r="U97" s="598">
        <v>3</v>
      </c>
      <c r="V97" s="908">
        <v>1.5</v>
      </c>
      <c r="W97" s="598">
        <v>3</v>
      </c>
      <c r="X97" s="908">
        <v>1.5</v>
      </c>
      <c r="Y97" s="598">
        <v>4</v>
      </c>
      <c r="Z97" s="908">
        <v>2</v>
      </c>
      <c r="AA97" s="272"/>
      <c r="AB97" s="637">
        <f t="shared" si="29"/>
        <v>4</v>
      </c>
      <c r="AC97" s="743">
        <f t="shared" si="30"/>
        <v>2</v>
      </c>
      <c r="AD97"/>
      <c r="AE97"/>
    </row>
    <row r="98" spans="1:31" ht="14.25" customHeight="1" thickBot="1" x14ac:dyDescent="0.25">
      <c r="A98" s="272"/>
      <c r="B98" s="120" t="s">
        <v>132</v>
      </c>
      <c r="C98" s="530">
        <v>0</v>
      </c>
      <c r="D98" s="531">
        <v>0</v>
      </c>
      <c r="E98" s="683">
        <v>0</v>
      </c>
      <c r="F98" s="533">
        <v>0</v>
      </c>
      <c r="G98" s="683">
        <v>0</v>
      </c>
      <c r="H98" s="533">
        <v>0</v>
      </c>
      <c r="I98" s="683">
        <v>0</v>
      </c>
      <c r="J98" s="533">
        <v>0</v>
      </c>
      <c r="K98" s="532">
        <v>0</v>
      </c>
      <c r="L98" s="533">
        <v>0</v>
      </c>
      <c r="M98" s="599">
        <v>0</v>
      </c>
      <c r="N98" s="824">
        <v>0</v>
      </c>
      <c r="O98" s="599">
        <v>0</v>
      </c>
      <c r="P98" s="824">
        <v>0</v>
      </c>
      <c r="Q98" s="599">
        <v>0</v>
      </c>
      <c r="R98" s="909">
        <v>0</v>
      </c>
      <c r="S98" s="599">
        <v>0</v>
      </c>
      <c r="T98" s="909">
        <v>0</v>
      </c>
      <c r="U98" s="599">
        <v>0</v>
      </c>
      <c r="V98" s="909">
        <v>0</v>
      </c>
      <c r="W98" s="599">
        <v>0</v>
      </c>
      <c r="X98" s="909">
        <v>0</v>
      </c>
      <c r="Y98" s="599">
        <v>0</v>
      </c>
      <c r="Z98" s="909">
        <v>0</v>
      </c>
      <c r="AA98" s="272"/>
      <c r="AB98" s="684">
        <f t="shared" si="29"/>
        <v>0</v>
      </c>
      <c r="AC98" s="745">
        <f t="shared" si="30"/>
        <v>0</v>
      </c>
      <c r="AD98"/>
      <c r="AE98"/>
    </row>
    <row r="99" spans="1:31" ht="17.25" thickTop="1" thickBot="1" x14ac:dyDescent="0.3">
      <c r="A99" s="534"/>
      <c r="B99" s="535"/>
      <c r="C99" s="1282" t="s">
        <v>29</v>
      </c>
      <c r="D99" s="1295"/>
      <c r="E99" s="1282" t="s">
        <v>30</v>
      </c>
      <c r="F99" s="1295"/>
      <c r="G99" s="1280" t="s">
        <v>120</v>
      </c>
      <c r="H99" s="1253"/>
      <c r="I99" s="1280" t="s">
        <v>121</v>
      </c>
      <c r="J99" s="1291"/>
      <c r="K99" s="1280" t="s">
        <v>122</v>
      </c>
      <c r="L99" s="1291"/>
      <c r="M99" s="1269" t="s">
        <v>123</v>
      </c>
      <c r="N99" s="1253"/>
      <c r="O99" s="1252" t="s">
        <v>154</v>
      </c>
      <c r="P99" s="1256"/>
      <c r="Q99" s="1252" t="s">
        <v>150</v>
      </c>
      <c r="R99" s="1253"/>
      <c r="S99" s="1252" t="s">
        <v>164</v>
      </c>
      <c r="T99" s="1253"/>
      <c r="U99" s="1252" t="s">
        <v>182</v>
      </c>
      <c r="V99" s="1253"/>
      <c r="W99" s="1252" t="s">
        <v>195</v>
      </c>
      <c r="X99" s="1253"/>
      <c r="Y99" s="1252" t="s">
        <v>204</v>
      </c>
      <c r="Z99" s="1253"/>
      <c r="AA99" s="919"/>
      <c r="AB99" s="84"/>
      <c r="AC99" s="747"/>
      <c r="AD99"/>
      <c r="AE99"/>
    </row>
    <row r="100" spans="1:31" x14ac:dyDescent="0.2">
      <c r="B100" s="418" t="s">
        <v>131</v>
      </c>
      <c r="C100" s="1"/>
      <c r="D100" s="537"/>
      <c r="E100" s="538"/>
      <c r="F100" s="539"/>
      <c r="G100" s="540"/>
      <c r="H100" s="541"/>
      <c r="I100" s="542"/>
      <c r="J100" s="414"/>
      <c r="K100" s="543"/>
      <c r="L100" s="544"/>
      <c r="M100" s="543"/>
      <c r="N100" s="559"/>
      <c r="O100" s="878"/>
      <c r="P100" s="879"/>
      <c r="Q100" s="543"/>
      <c r="R100" s="559"/>
      <c r="S100" s="543"/>
      <c r="T100" s="559"/>
      <c r="U100" s="95"/>
      <c r="V100" s="847"/>
      <c r="W100" s="543"/>
      <c r="X100" s="559"/>
      <c r="Y100" s="543"/>
      <c r="Z100" s="559"/>
      <c r="AA100" s="4"/>
      <c r="AB100" s="4"/>
      <c r="AC100" s="4"/>
      <c r="AD100"/>
      <c r="AE100"/>
    </row>
    <row r="101" spans="1:31" x14ac:dyDescent="0.2">
      <c r="A101" s="272"/>
      <c r="B101" s="545" t="s">
        <v>110</v>
      </c>
      <c r="C101" s="1302">
        <v>3.4</v>
      </c>
      <c r="D101" s="1303"/>
      <c r="E101" s="548"/>
      <c r="F101" s="549"/>
      <c r="G101" s="550"/>
      <c r="H101" s="551"/>
      <c r="I101" s="1304">
        <v>2.35</v>
      </c>
      <c r="J101" s="1305"/>
      <c r="K101" s="552"/>
      <c r="L101" s="553"/>
      <c r="M101" s="552"/>
      <c r="N101" s="559"/>
      <c r="O101" s="884"/>
      <c r="P101" s="885">
        <v>4.8</v>
      </c>
      <c r="Q101" s="552"/>
      <c r="R101" s="559"/>
      <c r="S101" s="552"/>
      <c r="T101" s="559"/>
      <c r="U101" s="202"/>
      <c r="V101" s="885">
        <v>4.5999999999999996</v>
      </c>
      <c r="W101" s="552"/>
      <c r="X101" s="559"/>
      <c r="Y101" s="552"/>
      <c r="Z101" s="559"/>
      <c r="AA101" s="4"/>
      <c r="AB101" s="4"/>
      <c r="AC101" s="880"/>
      <c r="AD101"/>
      <c r="AE101"/>
    </row>
    <row r="102" spans="1:31" x14ac:dyDescent="0.2">
      <c r="A102" s="272"/>
      <c r="B102" s="554" t="s">
        <v>111</v>
      </c>
      <c r="C102" s="610"/>
      <c r="D102" s="537"/>
      <c r="E102" s="548"/>
      <c r="F102" s="549"/>
      <c r="G102" s="550"/>
      <c r="H102" s="551"/>
      <c r="I102" s="881"/>
      <c r="J102" s="561"/>
      <c r="K102" s="552"/>
      <c r="L102" s="553"/>
      <c r="M102" s="552"/>
      <c r="N102" s="559"/>
      <c r="O102" s="884"/>
      <c r="P102" s="885"/>
      <c r="Q102" s="552"/>
      <c r="R102" s="559"/>
      <c r="S102" s="552"/>
      <c r="T102" s="559"/>
      <c r="U102" s="202"/>
      <c r="V102" s="885"/>
      <c r="W102" s="552"/>
      <c r="X102" s="559"/>
      <c r="Y102" s="552"/>
      <c r="Z102" s="559"/>
      <c r="AA102" s="4"/>
      <c r="AB102" s="4"/>
      <c r="AC102" s="880"/>
      <c r="AD102"/>
      <c r="AE102"/>
    </row>
    <row r="103" spans="1:31" x14ac:dyDescent="0.2">
      <c r="A103" s="272"/>
      <c r="B103" s="554" t="s">
        <v>112</v>
      </c>
      <c r="C103" s="1308">
        <v>0.5</v>
      </c>
      <c r="D103" s="1324"/>
      <c r="E103" s="548"/>
      <c r="F103" s="549"/>
      <c r="G103" s="550"/>
      <c r="H103" s="551"/>
      <c r="I103" s="1306">
        <v>2</v>
      </c>
      <c r="J103" s="1307"/>
      <c r="K103" s="552"/>
      <c r="L103" s="553"/>
      <c r="M103" s="552"/>
      <c r="N103" s="559"/>
      <c r="O103" s="884"/>
      <c r="P103" s="885">
        <v>1.5</v>
      </c>
      <c r="Q103" s="552"/>
      <c r="R103" s="559"/>
      <c r="S103" s="552"/>
      <c r="T103" s="559"/>
      <c r="U103" s="202"/>
      <c r="V103" s="885">
        <v>0</v>
      </c>
      <c r="W103" s="552"/>
      <c r="X103" s="559"/>
      <c r="Y103" s="552"/>
      <c r="Z103" s="559"/>
      <c r="AA103" s="4"/>
      <c r="AB103" s="4"/>
      <c r="AC103" s="880"/>
      <c r="AD103"/>
      <c r="AE103"/>
    </row>
    <row r="104" spans="1:31" x14ac:dyDescent="0.2">
      <c r="A104" s="272"/>
      <c r="B104" s="545" t="s">
        <v>113</v>
      </c>
      <c r="C104" s="1302">
        <v>2.5</v>
      </c>
      <c r="D104" s="1303"/>
      <c r="E104" s="548"/>
      <c r="F104" s="549"/>
      <c r="G104" s="550"/>
      <c r="H104" s="551"/>
      <c r="I104" s="1304">
        <v>2.5</v>
      </c>
      <c r="J104" s="1305"/>
      <c r="K104" s="552"/>
      <c r="L104" s="553"/>
      <c r="M104" s="552"/>
      <c r="N104" s="559"/>
      <c r="O104" s="884"/>
      <c r="P104" s="885">
        <v>0</v>
      </c>
      <c r="Q104" s="552"/>
      <c r="R104" s="559"/>
      <c r="S104" s="552"/>
      <c r="T104" s="559"/>
      <c r="U104" s="202"/>
      <c r="V104" s="885">
        <v>1.5</v>
      </c>
      <c r="W104" s="552"/>
      <c r="X104" s="559"/>
      <c r="Y104" s="552"/>
      <c r="Z104" s="559"/>
      <c r="AA104" s="4"/>
      <c r="AB104" s="4"/>
      <c r="AC104" s="880"/>
      <c r="AD104"/>
      <c r="AE104"/>
    </row>
    <row r="105" spans="1:31" x14ac:dyDescent="0.2">
      <c r="A105" s="272"/>
      <c r="B105" s="555" t="s">
        <v>114</v>
      </c>
      <c r="C105" s="1302">
        <v>2.7</v>
      </c>
      <c r="D105" s="1303"/>
      <c r="E105" s="548"/>
      <c r="F105" s="549"/>
      <c r="G105" s="550"/>
      <c r="H105" s="551"/>
      <c r="I105" s="1304">
        <v>3.2</v>
      </c>
      <c r="J105" s="1305"/>
      <c r="K105" s="552"/>
      <c r="L105" s="553"/>
      <c r="M105" s="552"/>
      <c r="N105" s="559"/>
      <c r="O105" s="884"/>
      <c r="P105" s="885">
        <v>3.9</v>
      </c>
      <c r="Q105" s="552"/>
      <c r="R105" s="559"/>
      <c r="S105" s="552"/>
      <c r="T105" s="559"/>
      <c r="U105" s="202"/>
      <c r="V105" s="885">
        <f>4.98+2</f>
        <v>6.98</v>
      </c>
      <c r="W105" s="552"/>
      <c r="X105" s="559"/>
      <c r="Y105" s="552"/>
      <c r="Z105" s="559"/>
      <c r="AA105" s="4"/>
      <c r="AB105" s="4"/>
      <c r="AC105" s="880"/>
      <c r="AD105"/>
      <c r="AE105"/>
    </row>
    <row r="106" spans="1:31" x14ac:dyDescent="0.2">
      <c r="A106" s="272"/>
      <c r="B106" s="555" t="s">
        <v>115</v>
      </c>
      <c r="C106" s="1302">
        <f>SUM(C101:D105)</f>
        <v>9.1000000000000014</v>
      </c>
      <c r="D106" s="1303"/>
      <c r="E106" s="548"/>
      <c r="F106" s="549"/>
      <c r="G106" s="550"/>
      <c r="H106" s="551"/>
      <c r="I106" s="1304">
        <f>SUM(I101:J105)</f>
        <v>10.050000000000001</v>
      </c>
      <c r="J106" s="1305"/>
      <c r="K106" s="552"/>
      <c r="L106" s="553"/>
      <c r="M106" s="552"/>
      <c r="N106" s="559"/>
      <c r="O106" s="884"/>
      <c r="P106" s="885">
        <f>SUM(P101:P105)</f>
        <v>10.199999999999999</v>
      </c>
      <c r="Q106" s="552"/>
      <c r="R106" s="559"/>
      <c r="S106" s="552"/>
      <c r="T106" s="559"/>
      <c r="U106" s="202"/>
      <c r="V106" s="885">
        <f>SUM(V101:V105)</f>
        <v>13.08</v>
      </c>
      <c r="W106" s="552"/>
      <c r="X106" s="559"/>
      <c r="Y106" s="552"/>
      <c r="Z106" s="559"/>
      <c r="AA106" s="4"/>
      <c r="AB106" s="4"/>
      <c r="AC106" s="880"/>
      <c r="AD106"/>
      <c r="AE106"/>
    </row>
    <row r="107" spans="1:31" ht="13.5" thickBot="1" x14ac:dyDescent="0.25">
      <c r="A107" s="272"/>
      <c r="B107" s="556" t="s">
        <v>125</v>
      </c>
      <c r="C107" s="1302"/>
      <c r="D107" s="1303"/>
      <c r="E107" s="548"/>
      <c r="F107" s="549"/>
      <c r="G107" s="550"/>
      <c r="H107" s="551"/>
      <c r="I107" s="1302"/>
      <c r="J107" s="1303"/>
      <c r="K107" s="552"/>
      <c r="L107" s="553"/>
      <c r="M107" s="552"/>
      <c r="N107" s="559"/>
      <c r="O107" s="884"/>
      <c r="P107" s="847"/>
      <c r="Q107" s="552"/>
      <c r="R107" s="559"/>
      <c r="S107" s="552"/>
      <c r="T107" s="559"/>
      <c r="U107" s="202"/>
      <c r="V107" s="847"/>
      <c r="W107" s="552"/>
      <c r="X107" s="559"/>
      <c r="Y107" s="552"/>
      <c r="Z107" s="559"/>
      <c r="AA107" s="4"/>
      <c r="AB107" s="4"/>
      <c r="AC107" s="880"/>
      <c r="AD107"/>
      <c r="AE107"/>
    </row>
    <row r="108" spans="1:31" x14ac:dyDescent="0.2">
      <c r="A108" s="272"/>
      <c r="B108" s="545" t="s">
        <v>116</v>
      </c>
      <c r="C108" s="1314">
        <v>1369</v>
      </c>
      <c r="D108" s="1315"/>
      <c r="E108" s="557"/>
      <c r="F108" s="558"/>
      <c r="G108" s="543"/>
      <c r="H108" s="559"/>
      <c r="I108" s="1314">
        <v>458</v>
      </c>
      <c r="J108" s="1315"/>
      <c r="K108" s="552"/>
      <c r="L108" s="553"/>
      <c r="M108" s="552"/>
      <c r="N108" s="559"/>
      <c r="O108" s="888"/>
      <c r="P108" s="869">
        <v>1128</v>
      </c>
      <c r="Q108" s="552"/>
      <c r="R108" s="559"/>
      <c r="S108" s="552"/>
      <c r="T108" s="559"/>
      <c r="U108" s="202"/>
      <c r="V108" s="869">
        <v>1443</v>
      </c>
      <c r="W108" s="552"/>
      <c r="X108" s="559"/>
      <c r="Y108" s="552"/>
      <c r="Z108" s="559"/>
      <c r="AA108" s="4"/>
      <c r="AB108" s="4"/>
      <c r="AC108" s="890"/>
      <c r="AD108"/>
      <c r="AE108"/>
    </row>
    <row r="109" spans="1:31" x14ac:dyDescent="0.2">
      <c r="A109" s="272"/>
      <c r="B109" s="555" t="s">
        <v>117</v>
      </c>
      <c r="C109" s="1314">
        <v>117</v>
      </c>
      <c r="D109" s="1315"/>
      <c r="E109" s="557"/>
      <c r="F109" s="558"/>
      <c r="G109" s="543"/>
      <c r="H109" s="559"/>
      <c r="I109" s="1314">
        <v>529</v>
      </c>
      <c r="J109" s="1315"/>
      <c r="K109" s="552"/>
      <c r="L109" s="553"/>
      <c r="M109" s="552"/>
      <c r="N109" s="559"/>
      <c r="O109" s="888"/>
      <c r="P109" s="869">
        <v>422</v>
      </c>
      <c r="Q109" s="552"/>
      <c r="R109" s="559"/>
      <c r="S109" s="552"/>
      <c r="T109" s="559"/>
      <c r="U109" s="202"/>
      <c r="V109" s="869">
        <v>0</v>
      </c>
      <c r="W109" s="552"/>
      <c r="X109" s="559"/>
      <c r="Y109" s="552"/>
      <c r="Z109" s="559"/>
      <c r="AA109" s="4"/>
      <c r="AB109" s="4"/>
      <c r="AC109" s="890"/>
      <c r="AD109"/>
      <c r="AE109"/>
    </row>
    <row r="110" spans="1:31" x14ac:dyDescent="0.2">
      <c r="A110" s="272"/>
      <c r="B110" s="555" t="s">
        <v>118</v>
      </c>
      <c r="C110" s="1314">
        <v>201</v>
      </c>
      <c r="D110" s="1315"/>
      <c r="E110" s="557"/>
      <c r="F110" s="558"/>
      <c r="G110" s="543"/>
      <c r="H110" s="559"/>
      <c r="I110" s="1314">
        <v>1047</v>
      </c>
      <c r="J110" s="1315"/>
      <c r="K110" s="552"/>
      <c r="L110" s="553"/>
      <c r="M110" s="552"/>
      <c r="N110" s="559"/>
      <c r="O110" s="888"/>
      <c r="P110" s="869">
        <v>780</v>
      </c>
      <c r="Q110" s="552"/>
      <c r="R110" s="559"/>
      <c r="S110" s="552"/>
      <c r="T110" s="559"/>
      <c r="U110" s="202"/>
      <c r="V110" s="869">
        <f>1276+21</f>
        <v>1297</v>
      </c>
      <c r="W110" s="552"/>
      <c r="X110" s="559"/>
      <c r="Y110" s="552"/>
      <c r="Z110" s="559"/>
      <c r="AA110" s="4"/>
      <c r="AB110" s="4"/>
      <c r="AC110" s="890"/>
      <c r="AD110"/>
      <c r="AE110"/>
    </row>
    <row r="111" spans="1:31" x14ac:dyDescent="0.2">
      <c r="A111" s="272"/>
      <c r="B111" s="555" t="s">
        <v>130</v>
      </c>
      <c r="C111" s="1314">
        <v>1687</v>
      </c>
      <c r="D111" s="1315"/>
      <c r="E111" s="557"/>
      <c r="F111" s="558"/>
      <c r="G111" s="543"/>
      <c r="H111" s="559"/>
      <c r="I111" s="1314">
        <f>SUM(I108:J110)</f>
        <v>2034</v>
      </c>
      <c r="J111" s="1315"/>
      <c r="K111" s="552"/>
      <c r="L111" s="553"/>
      <c r="M111" s="552"/>
      <c r="N111" s="559"/>
      <c r="O111" s="888"/>
      <c r="P111" s="869">
        <f>SUM(P108:P110)</f>
        <v>2330</v>
      </c>
      <c r="Q111" s="552"/>
      <c r="R111" s="559"/>
      <c r="S111" s="552"/>
      <c r="T111" s="559"/>
      <c r="U111" s="202"/>
      <c r="V111" s="869">
        <f>SUM(V108:V110)</f>
        <v>2740</v>
      </c>
      <c r="W111" s="552"/>
      <c r="X111" s="559"/>
      <c r="Y111" s="552"/>
      <c r="Z111" s="559"/>
      <c r="AA111" s="4"/>
      <c r="AB111" s="4"/>
      <c r="AC111" s="890"/>
      <c r="AD111"/>
      <c r="AE111"/>
    </row>
    <row r="112" spans="1:31" ht="13.5" thickBot="1" x14ac:dyDescent="0.25">
      <c r="A112" s="272"/>
      <c r="B112" s="556" t="s">
        <v>126</v>
      </c>
      <c r="C112" s="1304"/>
      <c r="D112" s="1300"/>
      <c r="E112" s="557"/>
      <c r="F112" s="558"/>
      <c r="G112" s="543"/>
      <c r="H112" s="559"/>
      <c r="I112" s="1304"/>
      <c r="J112" s="1300"/>
      <c r="K112" s="552"/>
      <c r="L112" s="553"/>
      <c r="M112" s="552"/>
      <c r="N112" s="559"/>
      <c r="O112" s="891"/>
      <c r="P112" s="885"/>
      <c r="Q112" s="552"/>
      <c r="R112" s="559"/>
      <c r="S112" s="552"/>
      <c r="T112" s="559"/>
      <c r="U112" s="202"/>
      <c r="V112" s="885"/>
      <c r="W112" s="552"/>
      <c r="X112" s="559"/>
      <c r="Y112" s="552"/>
      <c r="Z112" s="559"/>
      <c r="AA112" s="4"/>
      <c r="AB112" s="4"/>
      <c r="AC112" s="890"/>
      <c r="AD112"/>
      <c r="AE112"/>
    </row>
    <row r="113" spans="1:31" x14ac:dyDescent="0.2">
      <c r="A113" s="272"/>
      <c r="B113" s="545" t="s">
        <v>127</v>
      </c>
      <c r="C113" s="1312">
        <f>C108/C101</f>
        <v>402.64705882352945</v>
      </c>
      <c r="D113" s="1313"/>
      <c r="E113" s="562"/>
      <c r="F113" s="563"/>
      <c r="G113" s="564"/>
      <c r="H113" s="565"/>
      <c r="I113" s="1312">
        <f>I108/I101</f>
        <v>194.89361702127658</v>
      </c>
      <c r="J113" s="1313"/>
      <c r="K113" s="552"/>
      <c r="L113" s="566"/>
      <c r="M113" s="552"/>
      <c r="N113" s="559"/>
      <c r="O113" s="891"/>
      <c r="P113" s="870">
        <f>P108/P101</f>
        <v>235</v>
      </c>
      <c r="Q113" s="552"/>
      <c r="R113" s="559"/>
      <c r="S113" s="552"/>
      <c r="T113" s="559"/>
      <c r="U113" s="202"/>
      <c r="V113" s="870">
        <f>V108/V101</f>
        <v>313.69565217391306</v>
      </c>
      <c r="W113" s="552"/>
      <c r="X113" s="559"/>
      <c r="Y113" s="552"/>
      <c r="Z113" s="559"/>
      <c r="AA113" s="4"/>
      <c r="AB113" s="4"/>
      <c r="AC113" s="890"/>
      <c r="AD113"/>
      <c r="AE113"/>
    </row>
    <row r="114" spans="1:31" x14ac:dyDescent="0.2">
      <c r="A114" s="272"/>
      <c r="B114" s="555" t="s">
        <v>128</v>
      </c>
      <c r="C114" s="1312">
        <f>C109/C103</f>
        <v>234</v>
      </c>
      <c r="D114" s="1313"/>
      <c r="E114" s="562"/>
      <c r="F114" s="563"/>
      <c r="G114" s="564"/>
      <c r="H114" s="565"/>
      <c r="I114" s="1312">
        <f>I109/I103</f>
        <v>264.5</v>
      </c>
      <c r="J114" s="1313"/>
      <c r="K114" s="552"/>
      <c r="L114" s="566"/>
      <c r="M114" s="552"/>
      <c r="N114" s="559"/>
      <c r="O114" s="891"/>
      <c r="P114" s="870">
        <f>P109/P103</f>
        <v>281.33333333333331</v>
      </c>
      <c r="Q114" s="552"/>
      <c r="R114" s="559"/>
      <c r="S114" s="552"/>
      <c r="T114" s="559"/>
      <c r="U114" s="202"/>
      <c r="V114" s="870">
        <f>0</f>
        <v>0</v>
      </c>
      <c r="W114" s="552"/>
      <c r="X114" s="559"/>
      <c r="Y114" s="552"/>
      <c r="Z114" s="559"/>
      <c r="AA114" s="4"/>
      <c r="AB114" s="4"/>
      <c r="AC114" s="890"/>
      <c r="AD114"/>
      <c r="AE114"/>
    </row>
    <row r="115" spans="1:31" x14ac:dyDescent="0.2">
      <c r="A115" s="272"/>
      <c r="B115" s="555" t="s">
        <v>129</v>
      </c>
      <c r="C115" s="1312">
        <f>C110/C105</f>
        <v>74.444444444444443</v>
      </c>
      <c r="D115" s="1313"/>
      <c r="E115" s="562"/>
      <c r="F115" s="563"/>
      <c r="G115" s="564"/>
      <c r="H115" s="565"/>
      <c r="I115" s="1312">
        <f>I110/I105</f>
        <v>327.1875</v>
      </c>
      <c r="J115" s="1313"/>
      <c r="K115" s="552"/>
      <c r="L115" s="566"/>
      <c r="M115" s="552"/>
      <c r="N115" s="559"/>
      <c r="O115" s="891"/>
      <c r="P115" s="870">
        <f>P110/P105</f>
        <v>200</v>
      </c>
      <c r="Q115" s="552"/>
      <c r="R115" s="559"/>
      <c r="S115" s="552"/>
      <c r="T115" s="559"/>
      <c r="U115" s="202"/>
      <c r="V115" s="870">
        <f>V110/V105</f>
        <v>185.81661891117477</v>
      </c>
      <c r="W115" s="552"/>
      <c r="X115" s="559"/>
      <c r="Y115" s="552"/>
      <c r="Z115" s="559"/>
      <c r="AA115" s="4"/>
      <c r="AB115" s="4"/>
      <c r="AC115" s="890"/>
      <c r="AD115"/>
      <c r="AE115"/>
    </row>
    <row r="116" spans="1:31" ht="13.5" thickBot="1" x14ac:dyDescent="0.25">
      <c r="A116" s="272"/>
      <c r="B116" s="568" t="s">
        <v>119</v>
      </c>
      <c r="C116" s="1310">
        <f>C111/C106</f>
        <v>185.38461538461536</v>
      </c>
      <c r="D116" s="1311"/>
      <c r="E116" s="569"/>
      <c r="F116" s="570"/>
      <c r="G116" s="571"/>
      <c r="H116" s="572"/>
      <c r="I116" s="1310">
        <f>I111/I106</f>
        <v>202.38805970149252</v>
      </c>
      <c r="J116" s="1311"/>
      <c r="K116" s="573"/>
      <c r="L116" s="574"/>
      <c r="M116" s="573"/>
      <c r="N116" s="574"/>
      <c r="O116" s="892"/>
      <c r="P116" s="871">
        <f>P111/P106</f>
        <v>228.43137254901961</v>
      </c>
      <c r="Q116" s="573"/>
      <c r="R116" s="574"/>
      <c r="S116" s="573"/>
      <c r="T116" s="574"/>
      <c r="U116" s="413"/>
      <c r="V116" s="871">
        <f>V111/V106</f>
        <v>209.48012232415903</v>
      </c>
      <c r="W116" s="573"/>
      <c r="X116" s="574"/>
      <c r="Y116" s="573"/>
      <c r="Z116" s="574"/>
      <c r="AA116" s="4"/>
      <c r="AB116" s="4"/>
      <c r="AC116" s="890"/>
      <c r="AD116"/>
      <c r="AE116"/>
    </row>
    <row r="117" spans="1:31" ht="13.5" thickTop="1" x14ac:dyDescent="0.2">
      <c r="B117" s="868" t="str">
        <f>'HE Summary'!B118</f>
        <v>*Note: For the 2009 collection cycle and later, Instructional FTE was defined according to the national Delaware Study of Instructional Costs and Productivity</v>
      </c>
    </row>
  </sheetData>
  <mergeCells count="132">
    <mergeCell ref="U22:V22"/>
    <mergeCell ref="U30:V30"/>
    <mergeCell ref="U37:V37"/>
    <mergeCell ref="U64:V64"/>
    <mergeCell ref="U94:V94"/>
    <mergeCell ref="AB37:AC37"/>
    <mergeCell ref="AB64:AC64"/>
    <mergeCell ref="AB94:AC94"/>
    <mergeCell ref="O99:P99"/>
    <mergeCell ref="O37:P37"/>
    <mergeCell ref="O64:P64"/>
    <mergeCell ref="O94:P94"/>
    <mergeCell ref="Q99:R99"/>
    <mergeCell ref="S99:T99"/>
    <mergeCell ref="S64:T64"/>
    <mergeCell ref="Q94:R94"/>
    <mergeCell ref="S94:T94"/>
    <mergeCell ref="S37:T37"/>
    <mergeCell ref="W99:X99"/>
    <mergeCell ref="W37:X37"/>
    <mergeCell ref="W64:X64"/>
    <mergeCell ref="W94:X94"/>
    <mergeCell ref="U99:V99"/>
    <mergeCell ref="AB7:AC7"/>
    <mergeCell ref="AB22:AC22"/>
    <mergeCell ref="AB30:AC30"/>
    <mergeCell ref="C31:D31"/>
    <mergeCell ref="E31:F31"/>
    <mergeCell ref="I30:J30"/>
    <mergeCell ref="E7:F7"/>
    <mergeCell ref="G7:H7"/>
    <mergeCell ref="G22:H22"/>
    <mergeCell ref="C22:D22"/>
    <mergeCell ref="O7:P7"/>
    <mergeCell ref="O22:P22"/>
    <mergeCell ref="O30:P30"/>
    <mergeCell ref="I7:J7"/>
    <mergeCell ref="E22:F22"/>
    <mergeCell ref="C30:D30"/>
    <mergeCell ref="E30:F30"/>
    <mergeCell ref="S7:T7"/>
    <mergeCell ref="S22:T22"/>
    <mergeCell ref="S30:T30"/>
    <mergeCell ref="W7:X7"/>
    <mergeCell ref="W22:X22"/>
    <mergeCell ref="W30:X30"/>
    <mergeCell ref="U7:V7"/>
    <mergeCell ref="C116:D116"/>
    <mergeCell ref="I116:J116"/>
    <mergeCell ref="C112:D112"/>
    <mergeCell ref="I112:J112"/>
    <mergeCell ref="C113:D113"/>
    <mergeCell ref="I109:J109"/>
    <mergeCell ref="I113:J113"/>
    <mergeCell ref="C94:D94"/>
    <mergeCell ref="C37:D37"/>
    <mergeCell ref="I106:J106"/>
    <mergeCell ref="E37:F37"/>
    <mergeCell ref="E94:F94"/>
    <mergeCell ref="G94:H94"/>
    <mergeCell ref="E64:F64"/>
    <mergeCell ref="I114:J114"/>
    <mergeCell ref="G99:H99"/>
    <mergeCell ref="I108:J108"/>
    <mergeCell ref="I107:J107"/>
    <mergeCell ref="C99:D99"/>
    <mergeCell ref="E99:F99"/>
    <mergeCell ref="C110:D110"/>
    <mergeCell ref="I99:J99"/>
    <mergeCell ref="I105:J105"/>
    <mergeCell ref="C115:D115"/>
    <mergeCell ref="I115:J115"/>
    <mergeCell ref="I111:J111"/>
    <mergeCell ref="I110:J110"/>
    <mergeCell ref="C106:D106"/>
    <mergeCell ref="C107:D107"/>
    <mergeCell ref="C108:D108"/>
    <mergeCell ref="C111:D111"/>
    <mergeCell ref="C109:D109"/>
    <mergeCell ref="C114:D114"/>
    <mergeCell ref="M99:N99"/>
    <mergeCell ref="C64:D64"/>
    <mergeCell ref="C104:D104"/>
    <mergeCell ref="C101:D101"/>
    <mergeCell ref="C103:D103"/>
    <mergeCell ref="I101:J101"/>
    <mergeCell ref="K99:L99"/>
    <mergeCell ref="K94:L94"/>
    <mergeCell ref="M94:N94"/>
    <mergeCell ref="I103:J103"/>
    <mergeCell ref="C32:D32"/>
    <mergeCell ref="E32:F32"/>
    <mergeCell ref="C33:D33"/>
    <mergeCell ref="K7:L7"/>
    <mergeCell ref="K22:L22"/>
    <mergeCell ref="K37:L37"/>
    <mergeCell ref="K64:L64"/>
    <mergeCell ref="K30:L30"/>
    <mergeCell ref="G37:H37"/>
    <mergeCell ref="I64:J64"/>
    <mergeCell ref="I33:J33"/>
    <mergeCell ref="G33:H33"/>
    <mergeCell ref="G30:H30"/>
    <mergeCell ref="G31:H31"/>
    <mergeCell ref="I31:J31"/>
    <mergeCell ref="G32:H32"/>
    <mergeCell ref="I32:J32"/>
    <mergeCell ref="I37:J37"/>
    <mergeCell ref="Y7:Z7"/>
    <mergeCell ref="Y22:Z22"/>
    <mergeCell ref="Y30:Z30"/>
    <mergeCell ref="Y37:Z37"/>
    <mergeCell ref="Y64:Z64"/>
    <mergeCell ref="Y94:Z94"/>
    <mergeCell ref="Y99:Z99"/>
    <mergeCell ref="C105:D105"/>
    <mergeCell ref="G64:H64"/>
    <mergeCell ref="C7:D7"/>
    <mergeCell ref="I94:J94"/>
    <mergeCell ref="I22:J22"/>
    <mergeCell ref="Q22:R22"/>
    <mergeCell ref="Q30:R30"/>
    <mergeCell ref="Q37:R37"/>
    <mergeCell ref="M7:N7"/>
    <mergeCell ref="M22:N22"/>
    <mergeCell ref="M37:N37"/>
    <mergeCell ref="M64:N64"/>
    <mergeCell ref="M30:N30"/>
    <mergeCell ref="I104:J104"/>
    <mergeCell ref="Q64:R64"/>
    <mergeCell ref="Q7:R7"/>
    <mergeCell ref="E33:F33"/>
  </mergeCells>
  <phoneticPr fontId="0" type="noConversion"/>
  <printOptions horizontalCentered="1"/>
  <pageMargins left="0.5" right="0.5" top="0.5" bottom="0.25" header="0.5" footer="0.5"/>
  <pageSetup scale="70" orientation="landscape" r:id="rId1"/>
  <headerFooter alignWithMargins="0">
    <oddFooter>&amp;R&amp;P of &amp;N
&amp;D</oddFooter>
  </headerFooter>
  <rowBreaks count="1" manualBreakCount="1">
    <brk id="60" max="22" man="1"/>
  </rowBreaks>
  <ignoredErrors>
    <ignoredError sqref="S74:S9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8"/>
  <sheetViews>
    <sheetView topLeftCell="A13" zoomScaleNormal="100" zoomScaleSheetLayoutView="85" workbookViewId="0">
      <pane xSplit="2" topLeftCell="M1" activePane="topRight" state="frozen"/>
      <selection activeCell="Y91" sqref="Y91:Z91"/>
      <selection pane="topRight" activeCell="Y91" sqref="Y91:Z91"/>
    </sheetView>
  </sheetViews>
  <sheetFormatPr defaultColWidth="10.28515625" defaultRowHeight="12.75" x14ac:dyDescent="0.2"/>
  <cols>
    <col min="1" max="1" width="3.7109375" style="1" customWidth="1"/>
    <col min="2" max="2" width="29.7109375" style="1" customWidth="1"/>
    <col min="3" max="3" width="7.7109375" hidden="1" customWidth="1"/>
    <col min="4" max="4" width="10.42578125" hidden="1" customWidth="1"/>
    <col min="5" max="5" width="7.7109375" hidden="1" customWidth="1"/>
    <col min="6" max="6" width="10.42578125" hidden="1" customWidth="1"/>
    <col min="7" max="7" width="7.7109375" style="199" hidden="1" customWidth="1"/>
    <col min="8" max="8" width="10.42578125" style="199" hidden="1" customWidth="1"/>
    <col min="9" max="9" width="7.7109375" style="199" hidden="1" customWidth="1"/>
    <col min="10" max="10" width="10.42578125" style="199" hidden="1" customWidth="1"/>
    <col min="11" max="11" width="7.7109375" style="1" hidden="1" customWidth="1"/>
    <col min="12" max="12" width="10.42578125" style="1" hidden="1" customWidth="1"/>
    <col min="13" max="13" width="7.7109375" style="1" hidden="1" customWidth="1"/>
    <col min="14" max="14" width="10.85546875" style="1" hidden="1" customWidth="1"/>
    <col min="15" max="15" width="7.7109375" style="1" customWidth="1"/>
    <col min="16" max="16" width="10.85546875" style="1" customWidth="1"/>
    <col min="17" max="17" width="7.7109375" style="1" customWidth="1"/>
    <col min="18" max="18" width="10.85546875" style="1" customWidth="1"/>
    <col min="19" max="19" width="7.7109375" style="1" customWidth="1"/>
    <col min="20" max="20" width="10.85546875" style="1" customWidth="1"/>
    <col min="21" max="21" width="7.7109375" style="1" customWidth="1"/>
    <col min="22" max="22" width="10.85546875" style="1" customWidth="1"/>
    <col min="23" max="23" width="7.7109375" style="1" customWidth="1"/>
    <col min="24" max="24" width="10.85546875" style="1" customWidth="1"/>
    <col min="25" max="25" width="7.7109375" style="1" customWidth="1"/>
    <col min="26" max="26" width="10.85546875" style="1" customWidth="1"/>
    <col min="27" max="27" width="3.7109375" style="1" customWidth="1"/>
    <col min="28" max="28" width="9.140625" style="1" customWidth="1"/>
    <col min="29" max="29" width="11.28515625" style="1" customWidth="1"/>
    <col min="30" max="16384" width="10.28515625" style="1"/>
  </cols>
  <sheetData>
    <row r="1" spans="1:29" ht="17.25" customHeight="1" x14ac:dyDescent="0.25">
      <c r="A1" s="768" t="str">
        <f>Dean_HE!A1</f>
        <v>Department Profile Report - FY 2015</v>
      </c>
      <c r="B1" s="768"/>
      <c r="C1" s="768"/>
      <c r="D1" s="768"/>
      <c r="E1" s="768"/>
      <c r="F1" s="768"/>
      <c r="G1" s="768"/>
      <c r="H1" s="768"/>
      <c r="I1" s="791"/>
      <c r="J1" s="791"/>
      <c r="K1" s="792"/>
      <c r="L1" s="792"/>
      <c r="M1" s="792"/>
      <c r="N1" s="792"/>
      <c r="O1" s="792"/>
      <c r="P1" s="792"/>
      <c r="Q1" s="792"/>
      <c r="R1" s="792"/>
      <c r="S1" s="792"/>
      <c r="T1" s="792"/>
      <c r="U1" s="792"/>
      <c r="V1" s="792"/>
      <c r="W1" s="792"/>
      <c r="X1" s="792"/>
      <c r="Y1" s="792"/>
      <c r="Z1" s="792"/>
      <c r="AA1" s="792"/>
      <c r="AB1" s="792"/>
      <c r="AC1" s="792"/>
    </row>
    <row r="2" spans="1:29" x14ac:dyDescent="0.2">
      <c r="A2" s="3" t="s">
        <v>26</v>
      </c>
      <c r="C2" s="1"/>
      <c r="D2" s="1"/>
      <c r="E2" s="1"/>
      <c r="F2" s="1"/>
      <c r="G2" s="95"/>
      <c r="H2" s="95"/>
      <c r="I2" s="95"/>
      <c r="J2" s="95"/>
    </row>
    <row r="3" spans="1:29" ht="12" x14ac:dyDescent="0.2">
      <c r="C3" s="1"/>
      <c r="D3" s="1"/>
      <c r="E3" s="1"/>
      <c r="F3" s="1"/>
      <c r="G3" s="95"/>
      <c r="H3" s="95"/>
      <c r="I3" s="95"/>
      <c r="J3" s="95"/>
    </row>
    <row r="4" spans="1:29" x14ac:dyDescent="0.2">
      <c r="A4" s="3" t="s">
        <v>45</v>
      </c>
      <c r="C4" s="1"/>
      <c r="D4" s="1"/>
      <c r="E4" s="1"/>
      <c r="F4" s="1"/>
      <c r="G4" s="95"/>
      <c r="H4" s="95"/>
      <c r="I4" s="95"/>
      <c r="J4" s="95"/>
    </row>
    <row r="5" spans="1:29" ht="13.5" thickBot="1" x14ac:dyDescent="0.25">
      <c r="A5" s="3"/>
      <c r="C5" s="1"/>
      <c r="D5" s="1"/>
      <c r="E5" s="1"/>
      <c r="F5" s="1"/>
      <c r="G5" s="95"/>
      <c r="H5" s="95"/>
      <c r="I5" s="95"/>
      <c r="J5" s="95"/>
    </row>
    <row r="6" spans="1:29" ht="13.5" customHeight="1" thickTop="1" x14ac:dyDescent="0.2">
      <c r="B6" s="41"/>
      <c r="C6" s="19" t="s">
        <v>27</v>
      </c>
      <c r="D6" s="20"/>
      <c r="E6" s="9" t="s">
        <v>28</v>
      </c>
      <c r="F6" s="6"/>
      <c r="G6" s="226" t="s">
        <v>83</v>
      </c>
      <c r="H6" s="343"/>
      <c r="I6" s="1250" t="s">
        <v>93</v>
      </c>
      <c r="J6" s="1250"/>
      <c r="K6" s="1267" t="s">
        <v>94</v>
      </c>
      <c r="L6" s="1250"/>
      <c r="M6" s="1267" t="s">
        <v>100</v>
      </c>
      <c r="N6" s="1251"/>
      <c r="O6" s="1250" t="s">
        <v>143</v>
      </c>
      <c r="P6" s="1251"/>
      <c r="Q6" s="1250" t="s">
        <v>149</v>
      </c>
      <c r="R6" s="1251"/>
      <c r="S6" s="1250" t="s">
        <v>167</v>
      </c>
      <c r="T6" s="1251"/>
      <c r="U6" s="1250" t="s">
        <v>181</v>
      </c>
      <c r="V6" s="1251"/>
      <c r="W6" s="1250" t="s">
        <v>194</v>
      </c>
      <c r="X6" s="1251"/>
      <c r="Y6" s="1250" t="s">
        <v>203</v>
      </c>
      <c r="Z6" s="1251"/>
      <c r="AB6" s="1263" t="s">
        <v>133</v>
      </c>
      <c r="AC6" s="1316"/>
    </row>
    <row r="7" spans="1:29" ht="12" x14ac:dyDescent="0.2">
      <c r="B7" s="42"/>
      <c r="C7" s="21" t="s">
        <v>0</v>
      </c>
      <c r="D7" s="22" t="s">
        <v>1</v>
      </c>
      <c r="E7" s="10" t="s">
        <v>0</v>
      </c>
      <c r="F7" s="7" t="s">
        <v>1</v>
      </c>
      <c r="G7" s="227" t="s">
        <v>0</v>
      </c>
      <c r="H7" s="333" t="s">
        <v>1</v>
      </c>
      <c r="I7" s="299" t="s">
        <v>0</v>
      </c>
      <c r="J7" s="349" t="s">
        <v>1</v>
      </c>
      <c r="K7" s="227" t="s">
        <v>0</v>
      </c>
      <c r="L7" s="349" t="s">
        <v>1</v>
      </c>
      <c r="M7" s="227" t="s">
        <v>0</v>
      </c>
      <c r="N7" s="333" t="s">
        <v>1</v>
      </c>
      <c r="O7" s="299" t="s">
        <v>0</v>
      </c>
      <c r="P7" s="333" t="s">
        <v>1</v>
      </c>
      <c r="Q7" s="299" t="s">
        <v>0</v>
      </c>
      <c r="R7" s="333" t="s">
        <v>1</v>
      </c>
      <c r="S7" s="299" t="s">
        <v>0</v>
      </c>
      <c r="T7" s="333" t="s">
        <v>1</v>
      </c>
      <c r="U7" s="299" t="s">
        <v>0</v>
      </c>
      <c r="V7" s="333" t="s">
        <v>1</v>
      </c>
      <c r="W7" s="299" t="s">
        <v>0</v>
      </c>
      <c r="X7" s="333" t="s">
        <v>1</v>
      </c>
      <c r="Y7" s="299" t="s">
        <v>0</v>
      </c>
      <c r="Z7" s="333" t="s">
        <v>1</v>
      </c>
      <c r="AB7" s="642" t="s">
        <v>0</v>
      </c>
      <c r="AC7" s="643" t="s">
        <v>1</v>
      </c>
    </row>
    <row r="8" spans="1:29" thickBot="1" x14ac:dyDescent="0.25">
      <c r="B8" s="43"/>
      <c r="C8" s="23" t="s">
        <v>2</v>
      </c>
      <c r="D8" s="24" t="s">
        <v>3</v>
      </c>
      <c r="E8" s="16" t="s">
        <v>2</v>
      </c>
      <c r="F8" s="17" t="s">
        <v>3</v>
      </c>
      <c r="G8" s="228" t="s">
        <v>2</v>
      </c>
      <c r="H8" s="334" t="s">
        <v>3</v>
      </c>
      <c r="I8" s="300" t="s">
        <v>2</v>
      </c>
      <c r="J8" s="350" t="s">
        <v>3</v>
      </c>
      <c r="K8" s="228" t="s">
        <v>2</v>
      </c>
      <c r="L8" s="350" t="s">
        <v>3</v>
      </c>
      <c r="M8" s="228" t="s">
        <v>2</v>
      </c>
      <c r="N8" s="334" t="s">
        <v>3</v>
      </c>
      <c r="O8" s="300" t="s">
        <v>2</v>
      </c>
      <c r="P8" s="334" t="s">
        <v>3</v>
      </c>
      <c r="Q8" s="300" t="s">
        <v>2</v>
      </c>
      <c r="R8" s="334" t="s">
        <v>3</v>
      </c>
      <c r="S8" s="300" t="s">
        <v>2</v>
      </c>
      <c r="T8" s="334" t="s">
        <v>3</v>
      </c>
      <c r="U8" s="300" t="s">
        <v>2</v>
      </c>
      <c r="V8" s="334" t="s">
        <v>3</v>
      </c>
      <c r="W8" s="300" t="s">
        <v>2</v>
      </c>
      <c r="X8" s="334" t="s">
        <v>3</v>
      </c>
      <c r="Y8" s="300" t="s">
        <v>2</v>
      </c>
      <c r="Z8" s="334" t="s">
        <v>3</v>
      </c>
      <c r="AB8" s="644" t="s">
        <v>2</v>
      </c>
      <c r="AC8" s="645" t="s">
        <v>3</v>
      </c>
    </row>
    <row r="9" spans="1:29" ht="12" x14ac:dyDescent="0.2">
      <c r="B9" s="44" t="s">
        <v>4</v>
      </c>
      <c r="C9" s="194"/>
      <c r="D9" s="193"/>
      <c r="E9" s="195"/>
      <c r="F9" s="261"/>
      <c r="G9" s="194"/>
      <c r="H9" s="193"/>
      <c r="I9" s="195"/>
      <c r="J9" s="261"/>
      <c r="K9" s="194"/>
      <c r="L9" s="261"/>
      <c r="M9" s="194"/>
      <c r="N9" s="193"/>
      <c r="O9" s="195"/>
      <c r="P9" s="193"/>
      <c r="Q9" s="195"/>
      <c r="R9" s="193"/>
      <c r="S9" s="195"/>
      <c r="T9" s="193"/>
      <c r="U9" s="195"/>
      <c r="V9" s="193"/>
      <c r="W9" s="195"/>
      <c r="X9" s="193"/>
      <c r="Y9" s="195"/>
      <c r="Z9" s="193"/>
      <c r="AB9" s="649"/>
      <c r="AC9" s="272"/>
    </row>
    <row r="10" spans="1:29" ht="12" x14ac:dyDescent="0.2">
      <c r="B10" s="285" t="s">
        <v>81</v>
      </c>
      <c r="C10" s="68"/>
      <c r="D10" s="97"/>
      <c r="E10" s="98"/>
      <c r="F10" s="99"/>
      <c r="G10" s="68"/>
      <c r="H10" s="97"/>
      <c r="I10" s="98"/>
      <c r="J10" s="99"/>
      <c r="K10" s="68"/>
      <c r="L10" s="99"/>
      <c r="M10" s="68"/>
      <c r="N10" s="97"/>
      <c r="O10" s="98"/>
      <c r="P10" s="97"/>
      <c r="Q10" s="98"/>
      <c r="R10" s="97"/>
      <c r="S10" s="98"/>
      <c r="T10" s="97"/>
      <c r="U10" s="98"/>
      <c r="V10" s="97"/>
      <c r="W10" s="98"/>
      <c r="X10" s="97"/>
      <c r="Y10" s="98"/>
      <c r="Z10" s="97"/>
      <c r="AB10" s="649"/>
      <c r="AC10" s="272"/>
    </row>
    <row r="11" spans="1:29" ht="12" x14ac:dyDescent="0.2">
      <c r="B11" s="96" t="s">
        <v>134</v>
      </c>
      <c r="C11" s="278">
        <f>78+124</f>
        <v>202</v>
      </c>
      <c r="D11" s="102">
        <f>9+15</f>
        <v>24</v>
      </c>
      <c r="E11" s="384">
        <f>83+121</f>
        <v>204</v>
      </c>
      <c r="F11" s="101">
        <f>22+17</f>
        <v>39</v>
      </c>
      <c r="G11" s="278">
        <f>95+128</f>
        <v>223</v>
      </c>
      <c r="H11" s="102">
        <f>23+25</f>
        <v>48</v>
      </c>
      <c r="I11" s="384">
        <v>234</v>
      </c>
      <c r="J11" s="101">
        <f>20+31</f>
        <v>51</v>
      </c>
      <c r="K11" s="278">
        <v>225</v>
      </c>
      <c r="L11" s="101">
        <f>32+19</f>
        <v>51</v>
      </c>
      <c r="M11" s="278">
        <f>48+3+59+11+106</f>
        <v>227</v>
      </c>
      <c r="N11" s="305">
        <f>29+8</f>
        <v>37</v>
      </c>
      <c r="O11" s="384">
        <v>273</v>
      </c>
      <c r="P11" s="305">
        <v>56</v>
      </c>
      <c r="Q11" s="384">
        <v>241</v>
      </c>
      <c r="R11" s="305">
        <v>48</v>
      </c>
      <c r="S11" s="384">
        <v>264</v>
      </c>
      <c r="T11" s="305">
        <v>50</v>
      </c>
      <c r="U11" s="384">
        <v>292</v>
      </c>
      <c r="V11" s="305">
        <v>38</v>
      </c>
      <c r="W11" s="384">
        <v>312</v>
      </c>
      <c r="X11" s="305">
        <f>24+27</f>
        <v>51</v>
      </c>
      <c r="Y11" s="384">
        <v>321</v>
      </c>
      <c r="Z11" s="1002"/>
      <c r="AA11" s="272"/>
      <c r="AB11" s="666">
        <f>AVERAGE(W11,U11,S11,Q11,Y11)</f>
        <v>286</v>
      </c>
      <c r="AC11" s="675">
        <f t="shared" ref="AC11:AC13" si="0">AVERAGE(X11,V11,T11,R11,Z11)</f>
        <v>46.75</v>
      </c>
    </row>
    <row r="12" spans="1:29" ht="12" x14ac:dyDescent="0.2">
      <c r="B12" s="96" t="s">
        <v>98</v>
      </c>
      <c r="C12" s="278">
        <v>16</v>
      </c>
      <c r="D12" s="102">
        <v>5</v>
      </c>
      <c r="E12" s="384">
        <v>18</v>
      </c>
      <c r="F12" s="101">
        <v>4</v>
      </c>
      <c r="G12" s="278">
        <v>12</v>
      </c>
      <c r="H12" s="102">
        <v>5</v>
      </c>
      <c r="I12" s="384">
        <v>8</v>
      </c>
      <c r="J12" s="101">
        <v>4</v>
      </c>
      <c r="K12" s="278">
        <v>6</v>
      </c>
      <c r="L12" s="101">
        <v>4</v>
      </c>
      <c r="M12" s="278">
        <v>2</v>
      </c>
      <c r="N12" s="305">
        <v>0</v>
      </c>
      <c r="O12" s="384">
        <v>3</v>
      </c>
      <c r="P12" s="305">
        <v>2</v>
      </c>
      <c r="Q12" s="384">
        <v>4</v>
      </c>
      <c r="R12" s="305">
        <v>1</v>
      </c>
      <c r="S12" s="384">
        <v>4</v>
      </c>
      <c r="T12" s="305">
        <v>3</v>
      </c>
      <c r="U12" s="384">
        <v>9</v>
      </c>
      <c r="V12" s="305">
        <v>0</v>
      </c>
      <c r="W12" s="384">
        <v>13</v>
      </c>
      <c r="X12" s="305">
        <v>5</v>
      </c>
      <c r="Y12" s="384">
        <v>11</v>
      </c>
      <c r="Z12" s="1002"/>
      <c r="AA12" s="272"/>
      <c r="AB12" s="666">
        <f t="shared" ref="AB12:AB13" si="1">AVERAGE(W12,U12,S12,Q12,Y12)</f>
        <v>8.1999999999999993</v>
      </c>
      <c r="AC12" s="675">
        <f t="shared" si="0"/>
        <v>2.25</v>
      </c>
    </row>
    <row r="13" spans="1:29" ht="12" x14ac:dyDescent="0.2">
      <c r="B13" s="96" t="s">
        <v>7</v>
      </c>
      <c r="C13" s="278">
        <v>8</v>
      </c>
      <c r="D13" s="102">
        <v>1</v>
      </c>
      <c r="E13" s="384">
        <v>12</v>
      </c>
      <c r="F13" s="101">
        <v>2</v>
      </c>
      <c r="G13" s="278">
        <v>14</v>
      </c>
      <c r="H13" s="102">
        <v>4</v>
      </c>
      <c r="I13" s="384">
        <v>20</v>
      </c>
      <c r="J13" s="101">
        <v>1</v>
      </c>
      <c r="K13" s="278">
        <v>22</v>
      </c>
      <c r="L13" s="101">
        <v>4</v>
      </c>
      <c r="M13" s="278">
        <v>20</v>
      </c>
      <c r="N13" s="305">
        <v>4</v>
      </c>
      <c r="O13" s="384">
        <v>20</v>
      </c>
      <c r="P13" s="305">
        <v>4</v>
      </c>
      <c r="Q13" s="384">
        <v>18</v>
      </c>
      <c r="R13" s="305">
        <v>5</v>
      </c>
      <c r="S13" s="384">
        <v>18</v>
      </c>
      <c r="T13" s="305">
        <v>6</v>
      </c>
      <c r="U13" s="384">
        <v>15</v>
      </c>
      <c r="V13" s="305">
        <v>3</v>
      </c>
      <c r="W13" s="384">
        <v>14</v>
      </c>
      <c r="X13" s="305">
        <v>2</v>
      </c>
      <c r="Y13" s="384">
        <v>20</v>
      </c>
      <c r="Z13" s="1002"/>
      <c r="AA13" s="272"/>
      <c r="AB13" s="666">
        <f t="shared" si="1"/>
        <v>17</v>
      </c>
      <c r="AC13" s="675">
        <f t="shared" si="0"/>
        <v>4</v>
      </c>
    </row>
    <row r="14" spans="1:29" ht="12" x14ac:dyDescent="0.2">
      <c r="B14" s="286" t="s">
        <v>82</v>
      </c>
      <c r="C14" s="714"/>
      <c r="D14" s="196"/>
      <c r="E14" s="715"/>
      <c r="F14" s="263"/>
      <c r="G14" s="714"/>
      <c r="H14" s="196"/>
      <c r="I14" s="715"/>
      <c r="J14" s="263"/>
      <c r="K14" s="714"/>
      <c r="L14" s="263"/>
      <c r="M14" s="714"/>
      <c r="N14" s="196"/>
      <c r="O14" s="715"/>
      <c r="P14" s="196"/>
      <c r="Q14" s="715"/>
      <c r="R14" s="196"/>
      <c r="S14" s="715"/>
      <c r="T14" s="196"/>
      <c r="U14" s="715"/>
      <c r="V14" s="196"/>
      <c r="W14" s="715"/>
      <c r="X14" s="196"/>
      <c r="Y14" s="715"/>
      <c r="Z14" s="1023"/>
      <c r="AA14" s="272"/>
      <c r="AB14" s="666"/>
      <c r="AC14" s="675"/>
    </row>
    <row r="15" spans="1:29" ht="12" x14ac:dyDescent="0.2">
      <c r="B15" s="96" t="s">
        <v>134</v>
      </c>
      <c r="C15" s="278">
        <v>35</v>
      </c>
      <c r="D15" s="102">
        <v>6</v>
      </c>
      <c r="E15" s="384">
        <v>115</v>
      </c>
      <c r="F15" s="262">
        <v>12</v>
      </c>
      <c r="G15" s="278">
        <v>99</v>
      </c>
      <c r="H15" s="102">
        <v>18</v>
      </c>
      <c r="I15" s="384">
        <v>102</v>
      </c>
      <c r="J15" s="262">
        <v>10</v>
      </c>
      <c r="K15" s="278">
        <v>127</v>
      </c>
      <c r="L15" s="262">
        <v>19</v>
      </c>
      <c r="M15" s="278">
        <f>131+3</f>
        <v>134</v>
      </c>
      <c r="N15" s="102">
        <v>16</v>
      </c>
      <c r="O15" s="384">
        <v>116</v>
      </c>
      <c r="P15" s="102">
        <v>9</v>
      </c>
      <c r="Q15" s="384">
        <v>157</v>
      </c>
      <c r="R15" s="102">
        <v>21</v>
      </c>
      <c r="S15" s="384">
        <v>139</v>
      </c>
      <c r="T15" s="102">
        <v>20</v>
      </c>
      <c r="U15" s="384">
        <v>134</v>
      </c>
      <c r="V15" s="102">
        <v>19</v>
      </c>
      <c r="W15" s="384">
        <v>138</v>
      </c>
      <c r="X15" s="102">
        <v>22</v>
      </c>
      <c r="Y15" s="384">
        <v>112</v>
      </c>
      <c r="Z15" s="1025"/>
      <c r="AA15" s="272"/>
      <c r="AB15" s="666">
        <f t="shared" ref="AB15:AB16" si="2">AVERAGE(W15,U15,S15,Q15,Y15)</f>
        <v>136</v>
      </c>
      <c r="AC15" s="675">
        <f t="shared" ref="AC15:AC16" si="3">AVERAGE(X15,V15,T15,R15,Z15)</f>
        <v>20.5</v>
      </c>
    </row>
    <row r="16" spans="1:29" customFormat="1" ht="13.5" thickBot="1" x14ac:dyDescent="0.25">
      <c r="A16" s="1"/>
      <c r="B16" s="865" t="s">
        <v>139</v>
      </c>
      <c r="C16" s="197"/>
      <c r="D16" s="198"/>
      <c r="E16" s="197"/>
      <c r="F16" s="716"/>
      <c r="G16" s="753">
        <v>128</v>
      </c>
      <c r="H16" s="751">
        <v>25</v>
      </c>
      <c r="I16" s="750">
        <v>121</v>
      </c>
      <c r="J16" s="752">
        <v>31</v>
      </c>
      <c r="K16" s="753">
        <v>112</v>
      </c>
      <c r="L16" s="752">
        <f>18+1</f>
        <v>19</v>
      </c>
      <c r="M16" s="753">
        <f>95+11</f>
        <v>106</v>
      </c>
      <c r="N16" s="751">
        <v>8</v>
      </c>
      <c r="O16" s="750">
        <v>112</v>
      </c>
      <c r="P16" s="751">
        <v>14</v>
      </c>
      <c r="Q16" s="750">
        <v>120</v>
      </c>
      <c r="R16" s="751">
        <v>15</v>
      </c>
      <c r="S16" s="750">
        <v>124</v>
      </c>
      <c r="T16" s="751">
        <v>12</v>
      </c>
      <c r="U16" s="750">
        <v>117</v>
      </c>
      <c r="V16" s="1028">
        <v>10</v>
      </c>
      <c r="W16" s="750">
        <v>109</v>
      </c>
      <c r="X16" s="1028">
        <v>11</v>
      </c>
      <c r="Y16" s="750">
        <v>113</v>
      </c>
      <c r="Z16" s="1028"/>
      <c r="AA16" s="848"/>
      <c r="AB16" s="676">
        <f t="shared" si="2"/>
        <v>116.6</v>
      </c>
      <c r="AC16" s="959">
        <f t="shared" si="3"/>
        <v>12</v>
      </c>
    </row>
    <row r="17" spans="1:31" customFormat="1" ht="14.25" thickTop="1" thickBot="1" x14ac:dyDescent="0.25">
      <c r="A17" s="1"/>
      <c r="B17" s="35" t="s">
        <v>171</v>
      </c>
      <c r="C17" s="750">
        <v>124</v>
      </c>
      <c r="D17" s="751">
        <v>15</v>
      </c>
      <c r="E17" s="750">
        <v>121</v>
      </c>
      <c r="F17" s="752">
        <v>17</v>
      </c>
      <c r="G17" s="192"/>
      <c r="H17" s="200"/>
      <c r="I17" s="192"/>
      <c r="J17" s="200"/>
      <c r="K17" s="192"/>
      <c r="L17" s="200"/>
      <c r="M17" s="192"/>
      <c r="N17" s="200"/>
      <c r="O17" s="192"/>
      <c r="P17" s="200"/>
      <c r="Q17" s="192"/>
      <c r="R17" s="200"/>
      <c r="S17" s="192"/>
      <c r="T17" s="200"/>
      <c r="U17" s="192"/>
      <c r="V17" s="200"/>
      <c r="W17" s="192"/>
      <c r="X17" s="200"/>
      <c r="Y17" s="192"/>
      <c r="Z17" s="200"/>
      <c r="AB17" s="1"/>
      <c r="AC17" s="747"/>
    </row>
    <row r="18" spans="1:31" customFormat="1" ht="12" customHeight="1" thickTop="1" x14ac:dyDescent="0.2">
      <c r="A18" s="1"/>
      <c r="B18" s="35" t="s">
        <v>212</v>
      </c>
      <c r="C18" s="192"/>
      <c r="D18" s="192"/>
      <c r="E18" s="192"/>
      <c r="F18" s="200"/>
      <c r="G18" s="202"/>
      <c r="H18" s="203"/>
      <c r="I18" s="202"/>
      <c r="J18" s="203"/>
      <c r="K18" s="202"/>
      <c r="L18" s="203"/>
      <c r="M18" s="202"/>
      <c r="N18" s="203"/>
      <c r="O18" s="202"/>
      <c r="P18" s="203"/>
      <c r="Q18" s="202"/>
      <c r="R18" s="203"/>
      <c r="S18" s="202"/>
      <c r="T18" s="203"/>
      <c r="U18" s="202"/>
      <c r="V18" s="203"/>
      <c r="W18" s="202"/>
      <c r="X18" s="203"/>
      <c r="Y18" s="202"/>
      <c r="Z18" s="203"/>
      <c r="AA18" s="1"/>
      <c r="AB18" s="1"/>
      <c r="AC18" s="1"/>
    </row>
    <row r="19" spans="1:31" ht="12" x14ac:dyDescent="0.2">
      <c r="B19" s="64" t="s">
        <v>170</v>
      </c>
      <c r="C19" s="202"/>
      <c r="D19" s="201"/>
      <c r="E19" s="202"/>
      <c r="F19" s="203"/>
      <c r="G19" s="202"/>
      <c r="H19" s="203"/>
      <c r="I19" s="202"/>
      <c r="J19" s="203"/>
      <c r="K19" s="202"/>
      <c r="L19" s="203"/>
      <c r="M19" s="202"/>
      <c r="N19" s="203"/>
      <c r="O19" s="202"/>
      <c r="P19" s="203"/>
      <c r="Q19" s="202"/>
      <c r="R19" s="203"/>
      <c r="S19" s="202"/>
      <c r="T19" s="203"/>
      <c r="U19" s="202"/>
      <c r="V19" s="203"/>
      <c r="W19" s="202"/>
      <c r="X19" s="203"/>
      <c r="Y19" s="202"/>
      <c r="Z19" s="203"/>
    </row>
    <row r="20" spans="1:31" thickBot="1" x14ac:dyDescent="0.25">
      <c r="B20" s="64"/>
      <c r="C20" s="4"/>
      <c r="D20" s="67"/>
      <c r="E20" s="4"/>
      <c r="F20" s="67"/>
      <c r="G20" s="95"/>
      <c r="H20" s="95"/>
      <c r="I20" s="95"/>
      <c r="J20" s="95"/>
      <c r="K20" s="95"/>
      <c r="L20" s="95"/>
      <c r="M20" s="95"/>
      <c r="N20" s="95"/>
      <c r="O20" s="95"/>
      <c r="P20" s="95"/>
      <c r="Q20" s="95"/>
      <c r="R20" s="95"/>
      <c r="S20" s="95"/>
      <c r="T20" s="95"/>
      <c r="U20" s="95"/>
      <c r="V20" s="95"/>
      <c r="W20" s="95"/>
      <c r="X20" s="95"/>
      <c r="Y20" s="95"/>
      <c r="Z20" s="95"/>
    </row>
    <row r="21" spans="1:31" ht="14.25" thickTop="1" thickBot="1" x14ac:dyDescent="0.25">
      <c r="B21" s="415"/>
      <c r="C21" s="1"/>
      <c r="D21" s="1"/>
      <c r="E21" s="1"/>
      <c r="F21" s="1"/>
      <c r="G21" s="1286" t="s">
        <v>83</v>
      </c>
      <c r="H21" s="1255"/>
      <c r="I21" s="1286" t="s">
        <v>93</v>
      </c>
      <c r="J21" s="1254"/>
      <c r="K21" s="1286" t="s">
        <v>94</v>
      </c>
      <c r="L21" s="1254"/>
      <c r="M21" s="1286" t="s">
        <v>100</v>
      </c>
      <c r="N21" s="1255"/>
      <c r="O21" s="1254" t="s">
        <v>143</v>
      </c>
      <c r="P21" s="1255"/>
      <c r="Q21" s="1254" t="s">
        <v>149</v>
      </c>
      <c r="R21" s="1255"/>
      <c r="S21" s="1254" t="s">
        <v>167</v>
      </c>
      <c r="T21" s="1255"/>
      <c r="U21" s="1254" t="s">
        <v>181</v>
      </c>
      <c r="V21" s="1255"/>
      <c r="W21" s="1254" t="s">
        <v>194</v>
      </c>
      <c r="X21" s="1255"/>
      <c r="Y21" s="1254" t="s">
        <v>203</v>
      </c>
      <c r="Z21" s="1255"/>
      <c r="AB21" s="1259" t="s">
        <v>133</v>
      </c>
      <c r="AC21" s="1260"/>
    </row>
    <row r="22" spans="1:31" ht="13.5" thickTop="1" thickBot="1" x14ac:dyDescent="0.25">
      <c r="B22" s="44" t="s">
        <v>8</v>
      </c>
      <c r="C22" s="1292" t="s">
        <v>27</v>
      </c>
      <c r="D22" s="1293"/>
      <c r="E22" s="1294" t="s">
        <v>28</v>
      </c>
      <c r="F22" s="1294"/>
      <c r="G22" s="229"/>
      <c r="H22" s="326"/>
      <c r="I22" s="301"/>
      <c r="J22" s="301"/>
      <c r="K22" s="229"/>
      <c r="L22" s="301"/>
      <c r="M22" s="229"/>
      <c r="N22" s="326"/>
      <c r="O22" s="301"/>
      <c r="P22" s="326"/>
      <c r="Q22" s="301"/>
      <c r="R22" s="326"/>
      <c r="S22" s="301"/>
      <c r="T22" s="326"/>
      <c r="U22" s="301"/>
      <c r="V22" s="326"/>
      <c r="W22" s="301"/>
      <c r="X22" s="326"/>
      <c r="Y22" s="301"/>
      <c r="Z22" s="326"/>
      <c r="AB22" s="639"/>
      <c r="AC22" s="638"/>
    </row>
    <row r="23" spans="1:31" ht="12" x14ac:dyDescent="0.2">
      <c r="B23" s="48" t="s">
        <v>9</v>
      </c>
      <c r="C23" s="129"/>
      <c r="D23" s="130"/>
      <c r="E23" s="31"/>
      <c r="F23" s="31"/>
      <c r="G23" s="209"/>
      <c r="H23" s="313"/>
      <c r="I23" s="284"/>
      <c r="J23" s="284"/>
      <c r="K23" s="209"/>
      <c r="L23" s="284"/>
      <c r="M23" s="209"/>
      <c r="N23" s="313"/>
      <c r="O23" s="284"/>
      <c r="P23" s="313"/>
      <c r="Q23" s="284"/>
      <c r="R23" s="313"/>
      <c r="S23" s="284"/>
      <c r="T23" s="313"/>
      <c r="U23" s="284"/>
      <c r="V23" s="313"/>
      <c r="W23" s="284"/>
      <c r="X23" s="313"/>
      <c r="Y23" s="284"/>
      <c r="Z23" s="313"/>
      <c r="AB23" s="523"/>
      <c r="AC23" s="272"/>
    </row>
    <row r="24" spans="1:31" ht="12" x14ac:dyDescent="0.2">
      <c r="B24" s="48" t="s">
        <v>10</v>
      </c>
      <c r="C24" s="131"/>
      <c r="D24" s="132"/>
      <c r="E24" s="32"/>
      <c r="F24" s="32"/>
      <c r="G24" s="209"/>
      <c r="H24" s="305">
        <v>2400</v>
      </c>
      <c r="I24" s="284"/>
      <c r="J24" s="101">
        <v>2123</v>
      </c>
      <c r="K24" s="209"/>
      <c r="L24" s="101">
        <v>2839</v>
      </c>
      <c r="M24" s="209"/>
      <c r="N24" s="305">
        <v>2924</v>
      </c>
      <c r="O24" s="284"/>
      <c r="P24" s="305">
        <v>3076</v>
      </c>
      <c r="Q24" s="284"/>
      <c r="R24" s="305">
        <v>3108</v>
      </c>
      <c r="S24" s="284"/>
      <c r="T24" s="305">
        <v>3060</v>
      </c>
      <c r="U24" s="284"/>
      <c r="V24" s="305">
        <v>3120</v>
      </c>
      <c r="W24" s="284"/>
      <c r="X24" s="305">
        <v>3304</v>
      </c>
      <c r="Y24" s="284"/>
      <c r="Z24" s="1002"/>
      <c r="AB24" s="614"/>
      <c r="AC24" s="650">
        <f t="shared" ref="AC24:AC28" si="4">AVERAGE(X24,V24,T24,R24,Z24)</f>
        <v>3148</v>
      </c>
    </row>
    <row r="25" spans="1:31" ht="12" x14ac:dyDescent="0.2">
      <c r="B25" s="48" t="s">
        <v>11</v>
      </c>
      <c r="C25" s="131"/>
      <c r="D25" s="133">
        <v>2379</v>
      </c>
      <c r="E25" s="32"/>
      <c r="F25" s="52">
        <v>2538</v>
      </c>
      <c r="G25" s="209"/>
      <c r="H25" s="305">
        <v>4449</v>
      </c>
      <c r="I25" s="284"/>
      <c r="J25" s="101">
        <v>4731</v>
      </c>
      <c r="K25" s="209"/>
      <c r="L25" s="101">
        <v>4449</v>
      </c>
      <c r="M25" s="209"/>
      <c r="N25" s="305">
        <v>4311</v>
      </c>
      <c r="O25" s="284"/>
      <c r="P25" s="305">
        <v>4827</v>
      </c>
      <c r="Q25" s="284"/>
      <c r="R25" s="305">
        <v>4726</v>
      </c>
      <c r="S25" s="284"/>
      <c r="T25" s="305">
        <v>5053</v>
      </c>
      <c r="U25" s="284"/>
      <c r="V25" s="305">
        <v>5218</v>
      </c>
      <c r="W25" s="284"/>
      <c r="X25" s="305">
        <v>5504</v>
      </c>
      <c r="Y25" s="284"/>
      <c r="Z25" s="1002"/>
      <c r="AB25" s="636"/>
      <c r="AC25" s="650">
        <f t="shared" si="4"/>
        <v>5125.25</v>
      </c>
    </row>
    <row r="26" spans="1:31" ht="12" x14ac:dyDescent="0.2">
      <c r="B26" s="48" t="s">
        <v>12</v>
      </c>
      <c r="C26" s="131"/>
      <c r="D26" s="133">
        <v>3075</v>
      </c>
      <c r="E26" s="32"/>
      <c r="F26" s="52">
        <v>4177</v>
      </c>
      <c r="G26" s="209"/>
      <c r="H26" s="305">
        <v>310</v>
      </c>
      <c r="I26" s="284"/>
      <c r="J26" s="101">
        <v>309</v>
      </c>
      <c r="K26" s="209"/>
      <c r="L26" s="101">
        <v>289</v>
      </c>
      <c r="M26" s="209"/>
      <c r="N26" s="305">
        <v>265</v>
      </c>
      <c r="O26" s="284"/>
      <c r="P26" s="305">
        <v>297</v>
      </c>
      <c r="Q26" s="284"/>
      <c r="R26" s="305">
        <v>392</v>
      </c>
      <c r="S26" s="284"/>
      <c r="T26" s="305">
        <v>504</v>
      </c>
      <c r="U26" s="284"/>
      <c r="V26" s="305">
        <v>548</v>
      </c>
      <c r="W26" s="284"/>
      <c r="X26" s="305">
        <v>610</v>
      </c>
      <c r="Y26" s="284"/>
      <c r="Z26" s="1002"/>
      <c r="AB26" s="636"/>
      <c r="AC26" s="650">
        <f t="shared" si="4"/>
        <v>513.5</v>
      </c>
    </row>
    <row r="27" spans="1:31" ht="12" x14ac:dyDescent="0.2">
      <c r="B27" s="48" t="s">
        <v>13</v>
      </c>
      <c r="C27" s="131"/>
      <c r="D27" s="133">
        <v>229</v>
      </c>
      <c r="E27" s="32"/>
      <c r="F27" s="52">
        <v>411</v>
      </c>
      <c r="G27" s="209"/>
      <c r="H27" s="305">
        <v>201</v>
      </c>
      <c r="I27" s="284"/>
      <c r="J27" s="101">
        <v>206</v>
      </c>
      <c r="K27" s="209"/>
      <c r="L27" s="101">
        <v>190</v>
      </c>
      <c r="M27" s="209"/>
      <c r="N27" s="305">
        <v>192</v>
      </c>
      <c r="O27" s="284"/>
      <c r="P27" s="305">
        <v>188</v>
      </c>
      <c r="Q27" s="284"/>
      <c r="R27" s="305">
        <v>157</v>
      </c>
      <c r="S27" s="284"/>
      <c r="T27" s="305">
        <v>160</v>
      </c>
      <c r="U27" s="284"/>
      <c r="V27" s="305">
        <v>107</v>
      </c>
      <c r="W27" s="284"/>
      <c r="X27" s="305">
        <v>100</v>
      </c>
      <c r="Y27" s="284"/>
      <c r="Z27" s="1002"/>
      <c r="AB27" s="636"/>
      <c r="AC27" s="650">
        <f t="shared" si="4"/>
        <v>131</v>
      </c>
    </row>
    <row r="28" spans="1:31" thickBot="1" x14ac:dyDescent="0.25">
      <c r="B28" s="49" t="s">
        <v>14</v>
      </c>
      <c r="C28" s="131"/>
      <c r="D28" s="133">
        <v>132</v>
      </c>
      <c r="E28" s="32"/>
      <c r="F28" s="52">
        <v>112</v>
      </c>
      <c r="G28" s="213"/>
      <c r="H28" s="306">
        <f>SUM(H24:H27)</f>
        <v>7360</v>
      </c>
      <c r="I28" s="302"/>
      <c r="J28" s="364">
        <f>SUM(J24:J27)</f>
        <v>7369</v>
      </c>
      <c r="K28" s="213"/>
      <c r="L28" s="364">
        <f>SUM(L24:L27)</f>
        <v>7767</v>
      </c>
      <c r="M28" s="213"/>
      <c r="N28" s="306">
        <v>7692</v>
      </c>
      <c r="O28" s="302"/>
      <c r="P28" s="306">
        <f>SUM(P24:P27)</f>
        <v>8388</v>
      </c>
      <c r="Q28" s="302"/>
      <c r="R28" s="306">
        <f>SUM(R24:R27)</f>
        <v>8383</v>
      </c>
      <c r="S28" s="302"/>
      <c r="T28" s="306">
        <f>SUM(T24:T27)</f>
        <v>8777</v>
      </c>
      <c r="U28" s="302"/>
      <c r="V28" s="306">
        <f>SUM(V24:V27)</f>
        <v>8993</v>
      </c>
      <c r="W28" s="302"/>
      <c r="X28" s="306">
        <f>SUM(X24:X27)</f>
        <v>9518</v>
      </c>
      <c r="Y28" s="302"/>
      <c r="Z28" s="1020"/>
      <c r="AB28" s="523"/>
      <c r="AC28" s="749">
        <f t="shared" si="4"/>
        <v>8917.75</v>
      </c>
    </row>
    <row r="29" spans="1:31" ht="14.25" thickTop="1" thickBot="1" x14ac:dyDescent="0.25">
      <c r="B29" s="576" t="s">
        <v>124</v>
      </c>
      <c r="C29" s="134"/>
      <c r="D29" s="135">
        <f>SUM(D25:D28)</f>
        <v>5815</v>
      </c>
      <c r="E29" s="63"/>
      <c r="F29" s="56">
        <f>SUM(F25:F28)</f>
        <v>7238</v>
      </c>
      <c r="G29" s="1280" t="s">
        <v>120</v>
      </c>
      <c r="H29" s="1253"/>
      <c r="I29" s="1280" t="s">
        <v>121</v>
      </c>
      <c r="J29" s="1291"/>
      <c r="K29" s="1280" t="s">
        <v>122</v>
      </c>
      <c r="L29" s="1291"/>
      <c r="M29" s="1269" t="s">
        <v>123</v>
      </c>
      <c r="N29" s="1253"/>
      <c r="O29" s="1252" t="s">
        <v>144</v>
      </c>
      <c r="P29" s="1253"/>
      <c r="Q29" s="1252" t="s">
        <v>150</v>
      </c>
      <c r="R29" s="1253"/>
      <c r="S29" s="1252" t="s">
        <v>164</v>
      </c>
      <c r="T29" s="1253"/>
      <c r="U29" s="1252" t="s">
        <v>182</v>
      </c>
      <c r="V29" s="1253"/>
      <c r="W29" s="1252" t="s">
        <v>195</v>
      </c>
      <c r="X29" s="1253"/>
      <c r="Y29" s="1252" t="s">
        <v>204</v>
      </c>
      <c r="Z29" s="1253"/>
      <c r="AA29" s="536"/>
      <c r="AB29" s="1325"/>
      <c r="AC29" s="1326"/>
    </row>
    <row r="30" spans="1:31" ht="14.25" thickTop="1" thickBot="1" x14ac:dyDescent="0.25">
      <c r="A30" s="272"/>
      <c r="B30" s="577" t="s">
        <v>107</v>
      </c>
      <c r="C30" s="1282" t="s">
        <v>29</v>
      </c>
      <c r="D30" s="1295"/>
      <c r="E30" s="1282" t="s">
        <v>30</v>
      </c>
      <c r="F30" s="1295"/>
      <c r="G30" s="1287">
        <v>0.26800000000000002</v>
      </c>
      <c r="H30" s="1334"/>
      <c r="I30" s="1287">
        <v>0.28699999999999998</v>
      </c>
      <c r="J30" s="1334"/>
      <c r="K30" s="578"/>
      <c r="L30" s="579">
        <v>0.28999999999999998</v>
      </c>
      <c r="M30" s="580"/>
      <c r="N30" s="796">
        <v>0.26900000000000002</v>
      </c>
      <c r="O30" s="794"/>
      <c r="P30" s="796">
        <v>0.26900000000000002</v>
      </c>
      <c r="Q30" s="895"/>
      <c r="R30" s="796">
        <v>0.29899999999999999</v>
      </c>
      <c r="S30" s="895"/>
      <c r="T30" s="796">
        <v>0.21299999999999999</v>
      </c>
      <c r="U30" s="895"/>
      <c r="V30" s="796">
        <v>0.22500000000000001</v>
      </c>
      <c r="W30" s="895"/>
      <c r="X30" s="796">
        <v>0.29699999999999999</v>
      </c>
      <c r="Y30" s="895"/>
      <c r="Z30" s="796">
        <v>0.31900000000000001</v>
      </c>
      <c r="AA30" s="844"/>
      <c r="AB30" s="651"/>
      <c r="AC30" s="581">
        <f t="shared" ref="AC30:AC31" si="5">AVERAGE(X30,V30,T30,R30,Z30)</f>
        <v>0.27060000000000001</v>
      </c>
      <c r="AD30" s="283"/>
      <c r="AE30" s="283"/>
    </row>
    <row r="31" spans="1:31" x14ac:dyDescent="0.2">
      <c r="A31" s="272"/>
      <c r="B31" s="582" t="s">
        <v>108</v>
      </c>
      <c r="C31" s="1297">
        <v>0.191</v>
      </c>
      <c r="D31" s="1298"/>
      <c r="E31" s="1332">
        <v>0.22800000000000001</v>
      </c>
      <c r="F31" s="1333"/>
      <c r="G31" s="1276">
        <v>3.9E-2</v>
      </c>
      <c r="H31" s="1335"/>
      <c r="I31" s="1276">
        <v>4.5999999999999999E-2</v>
      </c>
      <c r="J31" s="1335"/>
      <c r="K31" s="583"/>
      <c r="L31" s="584">
        <v>3.3000000000000002E-2</v>
      </c>
      <c r="M31" s="583"/>
      <c r="N31" s="797">
        <v>3.6999999999999998E-2</v>
      </c>
      <c r="O31" s="795"/>
      <c r="P31" s="797">
        <v>3.7999999999999999E-2</v>
      </c>
      <c r="Q31" s="896"/>
      <c r="R31" s="797">
        <v>2.5000000000000001E-2</v>
      </c>
      <c r="S31" s="896"/>
      <c r="T31" s="797">
        <v>5.1999999999999998E-2</v>
      </c>
      <c r="U31" s="896"/>
      <c r="V31" s="797">
        <v>5.8000000000000003E-2</v>
      </c>
      <c r="W31" s="896"/>
      <c r="X31" s="797">
        <v>4.9000000000000002E-2</v>
      </c>
      <c r="Y31" s="896"/>
      <c r="Z31" s="797">
        <v>6.6000000000000003E-2</v>
      </c>
      <c r="AA31" s="844"/>
      <c r="AB31" s="652"/>
      <c r="AC31" s="585">
        <f t="shared" si="5"/>
        <v>0.05</v>
      </c>
      <c r="AD31" s="283"/>
      <c r="AE31" s="283"/>
    </row>
    <row r="32" spans="1:31" ht="13.5" thickBot="1" x14ac:dyDescent="0.25">
      <c r="A32" s="272"/>
      <c r="B32" s="586" t="s">
        <v>109</v>
      </c>
      <c r="C32" s="1301">
        <v>3.5999999999999997E-2</v>
      </c>
      <c r="D32" s="1300"/>
      <c r="E32" s="1329">
        <v>5.0999999999999997E-2</v>
      </c>
      <c r="F32" s="1330"/>
      <c r="G32" s="1257">
        <f>1-G31-G30</f>
        <v>0.69299999999999995</v>
      </c>
      <c r="H32" s="1258"/>
      <c r="I32" s="1257">
        <f>1-I31-I30</f>
        <v>0.66700000000000004</v>
      </c>
      <c r="J32" s="1258"/>
      <c r="K32" s="587"/>
      <c r="L32" s="590">
        <f>1-L30-L31</f>
        <v>0.67699999999999994</v>
      </c>
      <c r="M32" s="587"/>
      <c r="N32" s="590">
        <f>1-N30-N31</f>
        <v>0.69399999999999995</v>
      </c>
      <c r="O32" s="587"/>
      <c r="P32" s="590">
        <f>1-SUM(P30:P31)</f>
        <v>0.69300000000000006</v>
      </c>
      <c r="Q32" s="897"/>
      <c r="R32" s="898">
        <f>1-R30-R31</f>
        <v>0.67600000000000005</v>
      </c>
      <c r="S32" s="897"/>
      <c r="T32" s="898">
        <f>1-T31-T30</f>
        <v>0.73499999999999999</v>
      </c>
      <c r="U32" s="897"/>
      <c r="V32" s="898">
        <f>1-V31-V30</f>
        <v>0.71699999999999997</v>
      </c>
      <c r="W32" s="897"/>
      <c r="X32" s="898">
        <f>1-X31-X30</f>
        <v>0.65399999999999991</v>
      </c>
      <c r="Y32" s="897"/>
      <c r="Z32" s="898">
        <f>1-Z31-Z30</f>
        <v>0.61499999999999999</v>
      </c>
      <c r="AA32" s="844"/>
      <c r="AB32" s="588"/>
      <c r="AC32" s="589">
        <f>AVERAGE(X32,V32,T32,R32,Z32)</f>
        <v>0.6794</v>
      </c>
      <c r="AD32" s="283"/>
      <c r="AE32" s="283"/>
    </row>
    <row r="33" spans="1:31" ht="14.25" thickTop="1" thickBot="1" x14ac:dyDescent="0.25">
      <c r="B33" s="281"/>
      <c r="C33" s="1257">
        <f>1-SUM(C31:D32)</f>
        <v>0.77300000000000002</v>
      </c>
      <c r="D33" s="1296"/>
      <c r="E33" s="1257">
        <f>1-E32-E31</f>
        <v>0.72099999999999997</v>
      </c>
      <c r="F33" s="1258"/>
      <c r="G33" s="282"/>
      <c r="H33" s="283"/>
      <c r="I33" s="282"/>
      <c r="J33" s="283"/>
      <c r="K33" s="282"/>
      <c r="L33" s="283"/>
      <c r="M33" s="282"/>
      <c r="N33" s="283"/>
      <c r="O33" s="282"/>
      <c r="P33" s="283"/>
      <c r="Q33" s="282"/>
      <c r="R33" s="283"/>
      <c r="S33" s="282"/>
      <c r="T33" s="283"/>
      <c r="U33" s="282"/>
      <c r="V33" s="283"/>
      <c r="W33" s="282"/>
      <c r="X33" s="283"/>
      <c r="Y33" s="282"/>
      <c r="Z33" s="283"/>
      <c r="AD33" s="283"/>
      <c r="AE33" s="283"/>
    </row>
    <row r="34" spans="1:31" thickTop="1" x14ac:dyDescent="0.2">
      <c r="B34" s="70"/>
      <c r="C34" s="70"/>
      <c r="D34" s="82"/>
      <c r="E34" s="70"/>
      <c r="F34" s="82"/>
      <c r="G34" s="202"/>
      <c r="H34" s="202"/>
      <c r="I34" s="202"/>
      <c r="J34" s="202"/>
      <c r="K34" s="202"/>
      <c r="L34" s="202"/>
      <c r="M34" s="202"/>
      <c r="N34" s="202"/>
      <c r="O34" s="202"/>
      <c r="P34" s="202"/>
      <c r="Q34" s="202"/>
      <c r="R34" s="202"/>
      <c r="S34" s="202"/>
      <c r="T34" s="202"/>
      <c r="U34" s="202"/>
      <c r="V34" s="202"/>
      <c r="W34" s="202"/>
      <c r="X34" s="202"/>
      <c r="Y34" s="202"/>
      <c r="Z34" s="202"/>
    </row>
    <row r="35" spans="1:31" ht="13.5" thickBot="1" x14ac:dyDescent="0.25">
      <c r="A35" s="86" t="s">
        <v>37</v>
      </c>
      <c r="B35" s="70"/>
      <c r="C35" s="4"/>
      <c r="D35" s="4"/>
      <c r="E35" s="4"/>
      <c r="F35" s="4"/>
      <c r="G35" s="202"/>
      <c r="H35" s="202"/>
      <c r="I35" s="202"/>
      <c r="J35" s="202"/>
      <c r="K35" s="202"/>
      <c r="L35" s="202"/>
      <c r="M35" s="202"/>
      <c r="N35" s="202"/>
      <c r="O35" s="202"/>
      <c r="P35" s="202"/>
      <c r="Q35" s="202"/>
      <c r="R35" s="202"/>
      <c r="S35" s="202"/>
      <c r="T35" s="202"/>
      <c r="U35" s="202"/>
      <c r="V35" s="202"/>
      <c r="W35" s="202"/>
      <c r="X35" s="202"/>
      <c r="Y35" s="202"/>
      <c r="Z35" s="202"/>
    </row>
    <row r="36" spans="1:31" ht="14.25" thickTop="1" thickBot="1" x14ac:dyDescent="0.25">
      <c r="A36" s="86"/>
      <c r="B36" s="400" t="s">
        <v>38</v>
      </c>
      <c r="C36" s="4"/>
      <c r="D36" s="4"/>
      <c r="E36" s="833"/>
      <c r="F36" s="4"/>
      <c r="G36" s="1286" t="s">
        <v>83</v>
      </c>
      <c r="H36" s="1255"/>
      <c r="I36" s="1286" t="s">
        <v>93</v>
      </c>
      <c r="J36" s="1254"/>
      <c r="K36" s="1286" t="s">
        <v>94</v>
      </c>
      <c r="L36" s="1254"/>
      <c r="M36" s="1286" t="s">
        <v>100</v>
      </c>
      <c r="N36" s="1254"/>
      <c r="O36" s="1286" t="s">
        <v>143</v>
      </c>
      <c r="P36" s="1255"/>
      <c r="Q36" s="1254" t="s">
        <v>149</v>
      </c>
      <c r="R36" s="1255"/>
      <c r="S36" s="1254" t="s">
        <v>167</v>
      </c>
      <c r="T36" s="1255"/>
      <c r="U36" s="1254" t="s">
        <v>181</v>
      </c>
      <c r="V36" s="1255"/>
      <c r="W36" s="1254" t="s">
        <v>194</v>
      </c>
      <c r="X36" s="1255"/>
      <c r="Y36" s="1254" t="s">
        <v>203</v>
      </c>
      <c r="Z36" s="1255"/>
      <c r="AB36" s="1259" t="s">
        <v>133</v>
      </c>
      <c r="AC36" s="1260"/>
    </row>
    <row r="37" spans="1:31" ht="14.25" thickTop="1" thickBot="1" x14ac:dyDescent="0.25">
      <c r="A37" s="3"/>
      <c r="B37" s="856" t="s">
        <v>39</v>
      </c>
      <c r="C37" s="1292" t="s">
        <v>27</v>
      </c>
      <c r="D37" s="1293"/>
      <c r="E37" s="1294" t="s">
        <v>28</v>
      </c>
      <c r="F37" s="1294"/>
      <c r="G37" s="209"/>
      <c r="H37" s="313"/>
      <c r="I37" s="301"/>
      <c r="J37" s="301"/>
      <c r="K37" s="229"/>
      <c r="L37" s="301"/>
      <c r="M37" s="229"/>
      <c r="N37" s="316"/>
      <c r="O37" s="301"/>
      <c r="P37" s="326"/>
      <c r="Q37" s="301"/>
      <c r="R37" s="326"/>
      <c r="S37" s="301"/>
      <c r="T37" s="326"/>
      <c r="U37" s="301"/>
      <c r="V37" s="326"/>
      <c r="W37" s="301"/>
      <c r="X37" s="326"/>
      <c r="Y37" s="301"/>
      <c r="Z37" s="326"/>
      <c r="AB37" s="624"/>
      <c r="AC37" s="625"/>
    </row>
    <row r="38" spans="1:31" x14ac:dyDescent="0.2">
      <c r="A38" s="3"/>
      <c r="B38" s="402" t="s">
        <v>40</v>
      </c>
      <c r="C38" s="32"/>
      <c r="D38" s="32"/>
      <c r="E38" s="131"/>
      <c r="F38" s="32"/>
      <c r="G38" s="301"/>
      <c r="H38" s="315">
        <v>894569</v>
      </c>
      <c r="I38" s="301"/>
      <c r="J38" s="353">
        <v>942384</v>
      </c>
      <c r="K38" s="229"/>
      <c r="L38" s="353">
        <v>1086484</v>
      </c>
      <c r="M38" s="229"/>
      <c r="N38" s="314">
        <v>1153832</v>
      </c>
      <c r="O38" s="301"/>
      <c r="P38" s="314">
        <v>1121288</v>
      </c>
      <c r="Q38" s="301"/>
      <c r="R38" s="314">
        <v>1164432</v>
      </c>
      <c r="S38" s="301"/>
      <c r="T38" s="314">
        <v>1173616</v>
      </c>
      <c r="U38" s="301"/>
      <c r="V38" s="314">
        <v>1212442</v>
      </c>
      <c r="W38" s="301"/>
      <c r="X38" s="314">
        <v>1272198</v>
      </c>
      <c r="Y38" s="301"/>
      <c r="Z38" s="314">
        <v>1444047</v>
      </c>
      <c r="AB38" s="636"/>
      <c r="AC38" s="631">
        <f>AVERAGE(X38,V38,T38,R38,Z38)</f>
        <v>1253347</v>
      </c>
    </row>
    <row r="39" spans="1:31" x14ac:dyDescent="0.2">
      <c r="A39" s="3"/>
      <c r="B39" s="402" t="s">
        <v>152</v>
      </c>
      <c r="C39" s="31"/>
      <c r="D39" s="31"/>
      <c r="E39" s="129"/>
      <c r="F39" s="31"/>
      <c r="G39" s="301"/>
      <c r="H39" s="315"/>
      <c r="I39" s="301"/>
      <c r="J39" s="353"/>
      <c r="K39" s="229"/>
      <c r="L39" s="353"/>
      <c r="M39" s="229"/>
      <c r="N39" s="314"/>
      <c r="O39" s="301"/>
      <c r="P39" s="314"/>
      <c r="Q39" s="301"/>
      <c r="R39" s="314"/>
      <c r="S39" s="301"/>
      <c r="T39" s="314"/>
      <c r="U39" s="301"/>
      <c r="V39" s="314"/>
      <c r="W39" s="301"/>
      <c r="X39" s="314"/>
      <c r="Y39" s="301"/>
      <c r="Z39" s="314"/>
      <c r="AB39" s="614"/>
      <c r="AC39" s="631"/>
    </row>
    <row r="40" spans="1:31" ht="36" x14ac:dyDescent="0.2">
      <c r="A40" s="3"/>
      <c r="B40" s="403" t="s">
        <v>153</v>
      </c>
      <c r="C40" s="31"/>
      <c r="D40" s="154">
        <v>838992</v>
      </c>
      <c r="E40" s="229"/>
      <c r="F40" s="314">
        <v>858079</v>
      </c>
      <c r="G40" s="284"/>
      <c r="H40" s="315">
        <v>607548</v>
      </c>
      <c r="I40" s="284"/>
      <c r="J40" s="259">
        <v>640625</v>
      </c>
      <c r="K40" s="209"/>
      <c r="L40" s="259">
        <v>687025</v>
      </c>
      <c r="M40" s="209"/>
      <c r="N40" s="315">
        <v>658166</v>
      </c>
      <c r="O40" s="284"/>
      <c r="P40" s="315">
        <v>697174</v>
      </c>
      <c r="Q40" s="284"/>
      <c r="R40" s="315">
        <v>704369</v>
      </c>
      <c r="S40" s="284"/>
      <c r="T40" s="315">
        <v>711728</v>
      </c>
      <c r="U40" s="284"/>
      <c r="V40" s="315">
        <v>686630</v>
      </c>
      <c r="W40" s="284"/>
      <c r="X40" s="315">
        <v>751723</v>
      </c>
      <c r="Y40" s="284"/>
      <c r="Z40" s="315">
        <v>802804</v>
      </c>
      <c r="AB40" s="614"/>
      <c r="AC40" s="631">
        <f t="shared" ref="AC40:AC41" si="6">AVERAGE(X40,V40,T40,R40,Z40)</f>
        <v>731450.8</v>
      </c>
    </row>
    <row r="41" spans="1:31" x14ac:dyDescent="0.2">
      <c r="A41" s="3"/>
      <c r="B41" s="404" t="s">
        <v>41</v>
      </c>
      <c r="C41" s="32"/>
      <c r="D41" s="155">
        <v>382073</v>
      </c>
      <c r="E41" s="209"/>
      <c r="F41" s="315">
        <v>604447</v>
      </c>
      <c r="G41" s="307"/>
      <c r="H41" s="336">
        <f>SUM(H38:H40)</f>
        <v>1502117</v>
      </c>
      <c r="I41" s="307"/>
      <c r="J41" s="354">
        <f>SUM(J38:J40)</f>
        <v>1583009</v>
      </c>
      <c r="K41" s="230"/>
      <c r="L41" s="354">
        <f>SUM(L38:L40)</f>
        <v>1773509</v>
      </c>
      <c r="M41" s="230"/>
      <c r="N41" s="336">
        <f>SUM(N38:N40)</f>
        <v>1811998</v>
      </c>
      <c r="O41" s="307"/>
      <c r="P41" s="336">
        <f>SUM(P38:P40)</f>
        <v>1818462</v>
      </c>
      <c r="Q41" s="307"/>
      <c r="R41" s="336">
        <f>SUM(R38:R40)</f>
        <v>1868801</v>
      </c>
      <c r="S41" s="307"/>
      <c r="T41" s="336">
        <f>SUM(T38:T40)</f>
        <v>1885344</v>
      </c>
      <c r="U41" s="307"/>
      <c r="V41" s="336">
        <f>SUM(V38:V40)</f>
        <v>1899072</v>
      </c>
      <c r="W41" s="307"/>
      <c r="X41" s="336">
        <f>SUM(X38:X40)</f>
        <v>2023921</v>
      </c>
      <c r="Y41" s="307"/>
      <c r="Z41" s="336">
        <f>SUM(Z38:Z40)</f>
        <v>2246851</v>
      </c>
      <c r="AB41" s="636"/>
      <c r="AC41" s="680">
        <f t="shared" si="6"/>
        <v>1984797.8</v>
      </c>
    </row>
    <row r="42" spans="1:31" x14ac:dyDescent="0.2">
      <c r="A42" s="3"/>
      <c r="B42" s="401" t="s">
        <v>42</v>
      </c>
      <c r="C42" s="90"/>
      <c r="D42" s="156">
        <f>SUM(D40:D41)</f>
        <v>1221065</v>
      </c>
      <c r="E42" s="230"/>
      <c r="F42" s="139">
        <f>SUM(F40:F41)</f>
        <v>1462526</v>
      </c>
      <c r="G42" s="284"/>
      <c r="H42" s="315"/>
      <c r="I42" s="284"/>
      <c r="J42" s="259"/>
      <c r="K42" s="209"/>
      <c r="L42" s="259"/>
      <c r="M42" s="209"/>
      <c r="N42" s="315"/>
      <c r="O42" s="284"/>
      <c r="P42" s="315"/>
      <c r="Q42" s="284"/>
      <c r="R42" s="315"/>
      <c r="S42" s="284"/>
      <c r="T42" s="315"/>
      <c r="U42" s="284"/>
      <c r="V42" s="315"/>
      <c r="W42" s="284"/>
      <c r="X42" s="315"/>
      <c r="Y42" s="284"/>
      <c r="Z42" s="315"/>
      <c r="AB42" s="523"/>
      <c r="AC42" s="631"/>
    </row>
    <row r="43" spans="1:31" x14ac:dyDescent="0.2">
      <c r="A43" s="3"/>
      <c r="B43" s="402" t="s">
        <v>40</v>
      </c>
      <c r="C43" s="32"/>
      <c r="D43" s="155"/>
      <c r="E43" s="209"/>
      <c r="F43" s="315"/>
      <c r="G43" s="284"/>
      <c r="H43" s="315">
        <v>576873</v>
      </c>
      <c r="I43" s="284"/>
      <c r="J43" s="259">
        <v>689584</v>
      </c>
      <c r="K43" s="209"/>
      <c r="L43" s="259">
        <v>775337</v>
      </c>
      <c r="M43" s="209"/>
      <c r="N43" s="315">
        <v>793050</v>
      </c>
      <c r="O43" s="284"/>
      <c r="P43" s="315">
        <v>741458</v>
      </c>
      <c r="Q43" s="284"/>
      <c r="R43" s="315">
        <v>750768</v>
      </c>
      <c r="S43" s="284"/>
      <c r="T43" s="315">
        <v>765389</v>
      </c>
      <c r="U43" s="284"/>
      <c r="V43" s="315">
        <v>788981</v>
      </c>
      <c r="W43" s="284"/>
      <c r="X43" s="315">
        <v>797386</v>
      </c>
      <c r="Y43" s="284"/>
      <c r="Z43" s="315">
        <v>822526</v>
      </c>
      <c r="AB43" s="636"/>
      <c r="AC43" s="631">
        <f>AVERAGE(X43,V43,T43,R43,Z43)</f>
        <v>785010</v>
      </c>
    </row>
    <row r="44" spans="1:31" x14ac:dyDescent="0.2">
      <c r="A44" s="3"/>
      <c r="B44" s="402" t="s">
        <v>152</v>
      </c>
      <c r="C44" s="32"/>
      <c r="D44" s="155"/>
      <c r="E44" s="209"/>
      <c r="F44" s="315"/>
      <c r="G44" s="284"/>
      <c r="H44" s="315"/>
      <c r="I44" s="284"/>
      <c r="J44" s="259"/>
      <c r="K44" s="209"/>
      <c r="L44" s="259"/>
      <c r="M44" s="209"/>
      <c r="N44" s="315"/>
      <c r="O44" s="284"/>
      <c r="P44" s="315"/>
      <c r="Q44" s="284"/>
      <c r="R44" s="315"/>
      <c r="S44" s="284"/>
      <c r="T44" s="315"/>
      <c r="U44" s="284"/>
      <c r="V44" s="315"/>
      <c r="W44" s="284"/>
      <c r="X44" s="315"/>
      <c r="Y44" s="284"/>
      <c r="Z44" s="315"/>
      <c r="AB44" s="636"/>
      <c r="AC44" s="631"/>
    </row>
    <row r="45" spans="1:31" ht="36" x14ac:dyDescent="0.2">
      <c r="A45" s="3"/>
      <c r="B45" s="403" t="s">
        <v>153</v>
      </c>
      <c r="C45" s="32"/>
      <c r="D45" s="155">
        <v>617083</v>
      </c>
      <c r="E45" s="209"/>
      <c r="F45" s="315">
        <v>553182</v>
      </c>
      <c r="G45" s="284"/>
      <c r="H45" s="315">
        <v>275092</v>
      </c>
      <c r="I45" s="284"/>
      <c r="J45" s="259">
        <v>277270</v>
      </c>
      <c r="K45" s="209"/>
      <c r="L45" s="259">
        <v>319150</v>
      </c>
      <c r="M45" s="209"/>
      <c r="N45" s="315">
        <v>321461</v>
      </c>
      <c r="O45" s="284"/>
      <c r="P45" s="315">
        <v>343677</v>
      </c>
      <c r="Q45" s="284"/>
      <c r="R45" s="315">
        <v>343036</v>
      </c>
      <c r="S45" s="284"/>
      <c r="T45" s="315">
        <v>344139</v>
      </c>
      <c r="U45" s="284"/>
      <c r="V45" s="315">
        <v>345714</v>
      </c>
      <c r="W45" s="284"/>
      <c r="X45" s="315">
        <v>475774</v>
      </c>
      <c r="Y45" s="284"/>
      <c r="Z45" s="315">
        <v>480605</v>
      </c>
      <c r="AB45" s="636"/>
      <c r="AC45" s="631">
        <f t="shared" ref="AC45:AC48" si="7">AVERAGE(X45,V45,T45,R45,Z45)</f>
        <v>397853.6</v>
      </c>
    </row>
    <row r="46" spans="1:31" x14ac:dyDescent="0.2">
      <c r="A46" s="3"/>
      <c r="B46" s="404" t="s">
        <v>43</v>
      </c>
      <c r="C46" s="32"/>
      <c r="D46" s="155">
        <v>20263</v>
      </c>
      <c r="E46" s="209"/>
      <c r="F46" s="315">
        <v>275665</v>
      </c>
      <c r="G46" s="230"/>
      <c r="H46" s="139">
        <f>SUM(H43:H45)</f>
        <v>851965</v>
      </c>
      <c r="I46" s="307"/>
      <c r="J46" s="354">
        <f>SUM(J43:J45)</f>
        <v>966854</v>
      </c>
      <c r="K46" s="230"/>
      <c r="L46" s="354">
        <f>SUM(L43:L45)</f>
        <v>1094487</v>
      </c>
      <c r="M46" s="230"/>
      <c r="N46" s="336">
        <f>SUM(N43:N45)</f>
        <v>1114511</v>
      </c>
      <c r="O46" s="307"/>
      <c r="P46" s="336">
        <f>SUM(P43:P45)</f>
        <v>1085135</v>
      </c>
      <c r="Q46" s="307"/>
      <c r="R46" s="336">
        <f>SUM(R43:R45)</f>
        <v>1093804</v>
      </c>
      <c r="S46" s="307"/>
      <c r="T46" s="336">
        <f>SUM(T43:T45)</f>
        <v>1109528</v>
      </c>
      <c r="U46" s="307"/>
      <c r="V46" s="336">
        <f>SUM(V43:V45)</f>
        <v>1134695</v>
      </c>
      <c r="W46" s="307"/>
      <c r="X46" s="336">
        <f>SUM(X43:X45)</f>
        <v>1273160</v>
      </c>
      <c r="Y46" s="307"/>
      <c r="Z46" s="336">
        <f>SUM(Z43:Z45)</f>
        <v>1303131</v>
      </c>
      <c r="AB46" s="614"/>
      <c r="AC46" s="680">
        <f t="shared" si="7"/>
        <v>1182863.6000000001</v>
      </c>
    </row>
    <row r="47" spans="1:31" x14ac:dyDescent="0.2">
      <c r="A47" s="3"/>
      <c r="B47" s="834" t="s">
        <v>86</v>
      </c>
      <c r="C47" s="138"/>
      <c r="D47" s="139">
        <f>SUM(D45:D46)</f>
        <v>637346</v>
      </c>
      <c r="E47" s="90"/>
      <c r="F47" s="156">
        <f>SUM(F45:F46)</f>
        <v>828847</v>
      </c>
      <c r="G47" s="230"/>
      <c r="H47" s="139"/>
      <c r="I47" s="307"/>
      <c r="J47" s="259">
        <v>95294</v>
      </c>
      <c r="K47" s="230"/>
      <c r="L47" s="354">
        <v>0</v>
      </c>
      <c r="M47" s="230"/>
      <c r="N47" s="336">
        <v>0</v>
      </c>
      <c r="O47" s="307"/>
      <c r="P47" s="336">
        <v>0</v>
      </c>
      <c r="Q47" s="307"/>
      <c r="R47" s="336">
        <v>0</v>
      </c>
      <c r="S47" s="307"/>
      <c r="T47" s="336">
        <v>0</v>
      </c>
      <c r="U47" s="307"/>
      <c r="V47" s="336"/>
      <c r="W47" s="307"/>
      <c r="X47" s="336"/>
      <c r="Y47" s="307"/>
      <c r="Z47" s="336"/>
      <c r="AB47" s="636"/>
      <c r="AC47" s="631">
        <f t="shared" si="7"/>
        <v>0</v>
      </c>
    </row>
    <row r="48" spans="1:31" ht="13.5" thickBot="1" x14ac:dyDescent="0.25">
      <c r="A48" s="3"/>
      <c r="B48" s="405" t="s">
        <v>44</v>
      </c>
      <c r="C48" s="138"/>
      <c r="D48" s="139"/>
      <c r="E48" s="90"/>
      <c r="F48" s="156"/>
      <c r="G48" s="209"/>
      <c r="H48" s="336">
        <f>SUM(H41,H46)</f>
        <v>2354082</v>
      </c>
      <c r="I48" s="284"/>
      <c r="J48" s="354">
        <f>SUM(J41,J46,J47)</f>
        <v>2645157</v>
      </c>
      <c r="K48" s="209"/>
      <c r="L48" s="354">
        <f>SUM(L41,L46)</f>
        <v>2867996</v>
      </c>
      <c r="M48" s="209"/>
      <c r="N48" s="336">
        <f>SUM(N41,N46)</f>
        <v>2926509</v>
      </c>
      <c r="O48" s="284"/>
      <c r="P48" s="336">
        <f>SUM(P41,P46)</f>
        <v>2903597</v>
      </c>
      <c r="Q48" s="284"/>
      <c r="R48" s="336">
        <f>SUM(R41,R46)</f>
        <v>2962605</v>
      </c>
      <c r="S48" s="284"/>
      <c r="T48" s="336">
        <f>SUM(T41,T46)</f>
        <v>2994872</v>
      </c>
      <c r="U48" s="284"/>
      <c r="V48" s="336">
        <f>SUM(V41,V46)</f>
        <v>3033767</v>
      </c>
      <c r="W48" s="284"/>
      <c r="X48" s="336">
        <f>SUM(X41,X46)</f>
        <v>3297081</v>
      </c>
      <c r="Y48" s="284"/>
      <c r="Z48" s="336">
        <f>SUM(Z41,Z46)</f>
        <v>3549982</v>
      </c>
      <c r="AB48" s="653"/>
      <c r="AC48" s="680">
        <f t="shared" si="7"/>
        <v>3167661.4</v>
      </c>
    </row>
    <row r="49" spans="1:29" ht="13.5" thickBot="1" x14ac:dyDescent="0.25">
      <c r="A49" s="3"/>
      <c r="B49" s="406" t="s">
        <v>157</v>
      </c>
      <c r="C49" s="131"/>
      <c r="D49" s="139">
        <f>SUM(D42,D47)</f>
        <v>1858411</v>
      </c>
      <c r="E49" s="32"/>
      <c r="F49" s="156">
        <f>SUM(F42,F47)</f>
        <v>2291373</v>
      </c>
      <c r="G49" s="231"/>
      <c r="H49" s="316"/>
      <c r="I49" s="308"/>
      <c r="J49" s="308"/>
      <c r="K49" s="231"/>
      <c r="L49" s="308"/>
      <c r="M49" s="231"/>
      <c r="N49" s="316"/>
      <c r="O49" s="308"/>
      <c r="P49" s="316"/>
      <c r="Q49" s="308"/>
      <c r="R49" s="316"/>
      <c r="S49" s="308"/>
      <c r="T49" s="316"/>
      <c r="U49" s="308"/>
      <c r="V49" s="316"/>
      <c r="W49" s="308"/>
      <c r="X49" s="316"/>
      <c r="Y49" s="308"/>
      <c r="Z49" s="316"/>
      <c r="AB49" s="624"/>
      <c r="AC49" s="625"/>
    </row>
    <row r="50" spans="1:29" ht="12" x14ac:dyDescent="0.2">
      <c r="B50" s="48" t="s">
        <v>15</v>
      </c>
      <c r="C50" s="140"/>
      <c r="D50" s="141"/>
      <c r="E50" s="93"/>
      <c r="F50" s="93"/>
      <c r="G50" s="232"/>
      <c r="H50" s="456">
        <v>1083495.8899999999</v>
      </c>
      <c r="I50" s="277"/>
      <c r="J50" s="277">
        <v>1083639.8</v>
      </c>
      <c r="K50" s="457"/>
      <c r="L50" s="277">
        <f>1128620+106864</f>
        <v>1235484</v>
      </c>
      <c r="M50" s="457"/>
      <c r="N50" s="394">
        <v>1234701</v>
      </c>
      <c r="O50" s="277"/>
      <c r="P50" s="931">
        <v>1284641</v>
      </c>
      <c r="Q50" s="932"/>
      <c r="R50" s="931">
        <v>1268193</v>
      </c>
      <c r="S50" s="932"/>
      <c r="T50" s="931">
        <v>1392865</v>
      </c>
      <c r="U50" s="932" t="s">
        <v>19</v>
      </c>
      <c r="V50" s="931">
        <v>909644</v>
      </c>
      <c r="W50" s="932" t="s">
        <v>19</v>
      </c>
      <c r="X50" s="931">
        <v>1461914.25</v>
      </c>
      <c r="Y50" s="932" t="s">
        <v>19</v>
      </c>
      <c r="Z50" s="960"/>
      <c r="AB50" s="636"/>
      <c r="AC50" s="631">
        <f>AVERAGE(X50,V50,T50,R50,P50)</f>
        <v>1263451.45</v>
      </c>
    </row>
    <row r="51" spans="1:29" thickBot="1" x14ac:dyDescent="0.25">
      <c r="B51" s="407" t="s">
        <v>16</v>
      </c>
      <c r="C51" s="142"/>
      <c r="D51" s="143">
        <f>340419+536486</f>
        <v>876905</v>
      </c>
      <c r="E51" s="58"/>
      <c r="F51" s="81">
        <v>987169</v>
      </c>
      <c r="G51" s="233"/>
      <c r="H51" s="458">
        <f>514433+233549</f>
        <v>747982</v>
      </c>
      <c r="I51" s="373"/>
      <c r="J51" s="373">
        <f>247056+565551</f>
        <v>812607</v>
      </c>
      <c r="K51" s="294"/>
      <c r="L51" s="373">
        <f>3912+7940+28145+269021+28068+437289</f>
        <v>774375</v>
      </c>
      <c r="M51" s="294"/>
      <c r="N51" s="394">
        <f>684000+285053</f>
        <v>969053</v>
      </c>
      <c r="O51" s="373"/>
      <c r="P51" s="933">
        <f>487630+3000+284191+42824+49996</f>
        <v>867641</v>
      </c>
      <c r="Q51" s="934"/>
      <c r="R51" s="933">
        <f>85809.22+13847.65+287957.74+485476.85</f>
        <v>873091.46</v>
      </c>
      <c r="S51" s="934"/>
      <c r="T51" s="931">
        <f>12145.4+488185.26+303003.13+51470.41+65732.97</f>
        <v>920537.17</v>
      </c>
      <c r="U51" s="934"/>
      <c r="V51" s="933">
        <v>1496725</v>
      </c>
      <c r="W51" s="934"/>
      <c r="X51" s="933">
        <v>985396.63</v>
      </c>
      <c r="Y51" s="934"/>
      <c r="Z51" s="961"/>
      <c r="AB51" s="653"/>
      <c r="AC51" s="677">
        <f>AVERAGE(X51,V51,T51,R51,P51)</f>
        <v>1028678.252</v>
      </c>
    </row>
    <row r="52" spans="1:29" thickBot="1" x14ac:dyDescent="0.25">
      <c r="B52" s="408"/>
      <c r="C52" s="144"/>
      <c r="D52" s="145">
        <f>424209+61778+224781</f>
        <v>710768</v>
      </c>
      <c r="E52" s="59"/>
      <c r="F52" s="247">
        <f>476483+195261</f>
        <v>671744</v>
      </c>
      <c r="G52" s="234"/>
      <c r="H52" s="317"/>
      <c r="I52" s="295"/>
      <c r="J52" s="356"/>
      <c r="K52" s="234"/>
      <c r="L52" s="356"/>
      <c r="M52" s="234"/>
      <c r="N52" s="317"/>
      <c r="O52" s="295"/>
      <c r="P52" s="317"/>
      <c r="Q52" s="295"/>
      <c r="R52" s="317"/>
      <c r="S52" s="295"/>
      <c r="T52" s="317"/>
      <c r="U52" s="295"/>
      <c r="V52" s="317"/>
      <c r="W52" s="295"/>
      <c r="X52" s="317"/>
      <c r="Y52" s="295"/>
      <c r="Z52" s="317"/>
      <c r="AB52" s="670"/>
      <c r="AC52" s="671"/>
    </row>
    <row r="53" spans="1:29" thickBot="1" x14ac:dyDescent="0.25">
      <c r="B53" s="47"/>
      <c r="C53" s="146"/>
      <c r="D53" s="147"/>
      <c r="E53" s="60"/>
      <c r="F53" s="51"/>
      <c r="G53" s="253" t="s">
        <v>74</v>
      </c>
      <c r="H53" s="318" t="s">
        <v>80</v>
      </c>
      <c r="I53" s="225" t="s">
        <v>74</v>
      </c>
      <c r="J53" s="357" t="s">
        <v>80</v>
      </c>
      <c r="K53" s="253" t="s">
        <v>74</v>
      </c>
      <c r="L53" s="357" t="s">
        <v>80</v>
      </c>
      <c r="M53" s="253" t="s">
        <v>74</v>
      </c>
      <c r="N53" s="318" t="s">
        <v>80</v>
      </c>
      <c r="O53" s="225" t="s">
        <v>74</v>
      </c>
      <c r="P53" s="318" t="s">
        <v>80</v>
      </c>
      <c r="Q53" s="225" t="s">
        <v>74</v>
      </c>
      <c r="R53" s="318" t="s">
        <v>80</v>
      </c>
      <c r="S53" s="225" t="s">
        <v>74</v>
      </c>
      <c r="T53" s="318" t="s">
        <v>80</v>
      </c>
      <c r="U53" s="225" t="s">
        <v>74</v>
      </c>
      <c r="V53" s="318" t="s">
        <v>80</v>
      </c>
      <c r="W53" s="225" t="s">
        <v>74</v>
      </c>
      <c r="X53" s="318" t="s">
        <v>80</v>
      </c>
      <c r="Y53" s="225" t="s">
        <v>74</v>
      </c>
      <c r="Z53" s="318" t="s">
        <v>80</v>
      </c>
      <c r="AB53" s="661" t="s">
        <v>74</v>
      </c>
      <c r="AC53" s="669" t="s">
        <v>80</v>
      </c>
    </row>
    <row r="54" spans="1:29" ht="12" x14ac:dyDescent="0.2">
      <c r="B54" s="54" t="s">
        <v>35</v>
      </c>
      <c r="C54" s="148" t="s">
        <v>74</v>
      </c>
      <c r="D54" s="149" t="s">
        <v>80</v>
      </c>
      <c r="E54" s="73" t="s">
        <v>74</v>
      </c>
      <c r="F54" s="157" t="s">
        <v>80</v>
      </c>
      <c r="G54" s="689">
        <v>10</v>
      </c>
      <c r="H54" s="690">
        <v>539946</v>
      </c>
      <c r="I54" s="691">
        <v>20</v>
      </c>
      <c r="J54" s="692">
        <v>960322</v>
      </c>
      <c r="K54" s="689">
        <v>15</v>
      </c>
      <c r="L54" s="692">
        <v>1078171</v>
      </c>
      <c r="M54" s="689">
        <v>24</v>
      </c>
      <c r="N54" s="394">
        <v>2310231</v>
      </c>
      <c r="O54" s="689">
        <v>16</v>
      </c>
      <c r="P54" s="394">
        <v>2567978</v>
      </c>
      <c r="Q54" s="689">
        <v>20</v>
      </c>
      <c r="R54" s="394">
        <v>3077606</v>
      </c>
      <c r="S54" s="689">
        <v>14</v>
      </c>
      <c r="T54" s="394">
        <v>1912584</v>
      </c>
      <c r="U54" s="689">
        <v>41</v>
      </c>
      <c r="V54" s="394">
        <v>4092107</v>
      </c>
      <c r="W54" s="689">
        <v>32</v>
      </c>
      <c r="X54" s="394">
        <v>1726993</v>
      </c>
      <c r="Y54" s="962"/>
      <c r="Z54" s="971"/>
      <c r="AB54" s="656">
        <f t="shared" ref="AB54:AC54" si="8">AVERAGE(W54,U54,S54,Q54,Y54)</f>
        <v>26.75</v>
      </c>
      <c r="AC54" s="657">
        <f t="shared" si="8"/>
        <v>2702322.5</v>
      </c>
    </row>
    <row r="55" spans="1:29" ht="11.45" customHeight="1" x14ac:dyDescent="0.2">
      <c r="B55" s="54"/>
      <c r="C55" s="685">
        <v>22</v>
      </c>
      <c r="D55" s="686">
        <v>1776349</v>
      </c>
      <c r="E55" s="687">
        <v>18</v>
      </c>
      <c r="F55" s="688">
        <v>1200193</v>
      </c>
      <c r="G55" s="696"/>
      <c r="H55" s="697"/>
      <c r="I55" s="276"/>
      <c r="J55" s="698"/>
      <c r="K55" s="717"/>
      <c r="L55" s="698"/>
      <c r="M55" s="717"/>
      <c r="N55" s="395"/>
      <c r="O55" s="717"/>
      <c r="P55" s="395"/>
      <c r="Q55" s="717"/>
      <c r="R55" s="395"/>
      <c r="S55" s="717"/>
      <c r="T55" s="395"/>
      <c r="U55" s="717"/>
      <c r="V55" s="395"/>
      <c r="W55" s="717"/>
      <c r="X55" s="395"/>
      <c r="Y55" s="972"/>
      <c r="Z55" s="973"/>
      <c r="AB55" s="658"/>
      <c r="AC55" s="633"/>
    </row>
    <row r="56" spans="1:29" ht="11.45" customHeight="1" thickBot="1" x14ac:dyDescent="0.25">
      <c r="B56" s="409" t="s">
        <v>17</v>
      </c>
      <c r="C56" s="693"/>
      <c r="D56" s="694"/>
      <c r="E56" s="247"/>
      <c r="F56" s="695"/>
      <c r="G56" s="704">
        <v>14</v>
      </c>
      <c r="H56" s="705">
        <v>1761112</v>
      </c>
      <c r="I56" s="706">
        <v>19</v>
      </c>
      <c r="J56" s="707">
        <v>1003998</v>
      </c>
      <c r="K56" s="718">
        <v>9</v>
      </c>
      <c r="L56" s="707">
        <v>1635539</v>
      </c>
      <c r="M56" s="718">
        <v>12</v>
      </c>
      <c r="N56" s="399">
        <v>535505</v>
      </c>
      <c r="O56" s="718">
        <v>20</v>
      </c>
      <c r="P56" s="399">
        <v>1040636</v>
      </c>
      <c r="Q56" s="718">
        <v>13</v>
      </c>
      <c r="R56" s="399">
        <v>462504</v>
      </c>
      <c r="S56" s="718">
        <v>13</v>
      </c>
      <c r="T56" s="399">
        <v>2564729</v>
      </c>
      <c r="U56" s="718">
        <v>12</v>
      </c>
      <c r="V56" s="399">
        <v>1716444</v>
      </c>
      <c r="W56" s="718">
        <v>14</v>
      </c>
      <c r="X56" s="399">
        <v>1506520</v>
      </c>
      <c r="Y56" s="974"/>
      <c r="Z56" s="975"/>
      <c r="AB56" s="659">
        <f t="shared" ref="AB56:AC56" si="9">AVERAGE(W56,U56,S56,Q56,Y56)</f>
        <v>13</v>
      </c>
      <c r="AC56" s="660">
        <f t="shared" si="9"/>
        <v>1562549.25</v>
      </c>
    </row>
    <row r="57" spans="1:29" thickBot="1" x14ac:dyDescent="0.25">
      <c r="B57" s="406" t="s">
        <v>50</v>
      </c>
      <c r="C57" s="700">
        <v>16</v>
      </c>
      <c r="D57" s="701">
        <v>1128771</v>
      </c>
      <c r="E57" s="702">
        <v>15</v>
      </c>
      <c r="F57" s="703">
        <v>1311472</v>
      </c>
      <c r="G57" s="254"/>
      <c r="H57" s="319"/>
      <c r="I57" s="311"/>
      <c r="J57" s="358"/>
      <c r="K57" s="254"/>
      <c r="L57" s="358"/>
      <c r="M57" s="254"/>
      <c r="N57" s="319"/>
      <c r="O57" s="311"/>
      <c r="P57" s="319"/>
      <c r="Q57" s="311"/>
      <c r="R57" s="319"/>
      <c r="S57" s="311"/>
      <c r="T57" s="319"/>
      <c r="U57" s="311"/>
      <c r="V57" s="319"/>
      <c r="W57" s="311"/>
      <c r="X57" s="319"/>
      <c r="Y57" s="311"/>
      <c r="Z57" s="319"/>
      <c r="AB57" s="523"/>
      <c r="AC57" s="272"/>
    </row>
    <row r="58" spans="1:29" ht="12" x14ac:dyDescent="0.2">
      <c r="B58" s="410" t="s">
        <v>51</v>
      </c>
      <c r="C58" s="150"/>
      <c r="D58" s="159"/>
      <c r="E58" s="105"/>
      <c r="F58" s="218"/>
      <c r="G58" s="255"/>
      <c r="H58" s="320"/>
      <c r="I58" s="224"/>
      <c r="J58" s="200"/>
      <c r="K58" s="255"/>
      <c r="L58" s="200"/>
      <c r="M58" s="255"/>
      <c r="N58" s="320"/>
      <c r="O58" s="224"/>
      <c r="P58" s="320"/>
      <c r="Q58" s="224"/>
      <c r="R58" s="320"/>
      <c r="S58" s="224"/>
      <c r="T58" s="320"/>
      <c r="U58" s="224"/>
      <c r="V58" s="320"/>
      <c r="W58" s="224"/>
      <c r="X58" s="320"/>
      <c r="Y58" s="224"/>
      <c r="Z58" s="320"/>
      <c r="AB58" s="523"/>
      <c r="AC58" s="272"/>
    </row>
    <row r="59" spans="1:29" ht="12" x14ac:dyDescent="0.2">
      <c r="B59" s="835" t="s">
        <v>52</v>
      </c>
      <c r="C59" s="151"/>
      <c r="D59" s="160"/>
      <c r="E59" s="71"/>
      <c r="F59" s="34"/>
      <c r="G59" s="256"/>
      <c r="H59" s="470">
        <v>30815</v>
      </c>
      <c r="I59" s="464"/>
      <c r="J59" s="462">
        <v>34663.89</v>
      </c>
      <c r="K59" s="465"/>
      <c r="L59" s="467">
        <v>86382.43</v>
      </c>
      <c r="M59" s="465"/>
      <c r="N59" s="810">
        <v>76818</v>
      </c>
      <c r="O59" s="464"/>
      <c r="P59" s="810">
        <v>414338</v>
      </c>
      <c r="Q59" s="464"/>
      <c r="R59" s="810">
        <v>310756.65999999997</v>
      </c>
      <c r="S59" s="464"/>
      <c r="T59" s="810">
        <v>71385.19</v>
      </c>
      <c r="U59" s="464"/>
      <c r="V59" s="810">
        <v>45815.95</v>
      </c>
      <c r="W59" s="464"/>
      <c r="X59" s="810">
        <v>85816.5</v>
      </c>
      <c r="Y59" s="464"/>
      <c r="Z59" s="977"/>
      <c r="AB59" s="614"/>
      <c r="AC59" s="630">
        <f t="shared" ref="AC59:AC60" si="10">AVERAGE(X59,V59,T59,R59,P59)</f>
        <v>185622.46000000002</v>
      </c>
    </row>
    <row r="60" spans="1:29" thickBot="1" x14ac:dyDescent="0.25">
      <c r="B60" s="421" t="s">
        <v>53</v>
      </c>
      <c r="C60" s="152"/>
      <c r="D60" s="161">
        <v>41269.47</v>
      </c>
      <c r="E60" s="61"/>
      <c r="F60" s="219">
        <v>246074.96</v>
      </c>
      <c r="G60" s="257"/>
      <c r="H60" s="374">
        <v>0</v>
      </c>
      <c r="I60" s="257"/>
      <c r="J60" s="362">
        <v>0</v>
      </c>
      <c r="K60" s="257"/>
      <c r="L60" s="362">
        <v>0</v>
      </c>
      <c r="M60" s="257"/>
      <c r="N60" s="374">
        <v>0</v>
      </c>
      <c r="O60" s="312"/>
      <c r="P60" s="374">
        <v>0</v>
      </c>
      <c r="Q60" s="312"/>
      <c r="R60" s="374">
        <v>0</v>
      </c>
      <c r="S60" s="312"/>
      <c r="T60" s="374">
        <v>0</v>
      </c>
      <c r="U60" s="312"/>
      <c r="V60" s="374">
        <v>0</v>
      </c>
      <c r="W60" s="312"/>
      <c r="X60" s="374">
        <v>0</v>
      </c>
      <c r="Y60" s="312"/>
      <c r="Z60" s="956"/>
      <c r="AB60" s="575"/>
      <c r="AC60" s="635">
        <f t="shared" si="10"/>
        <v>0</v>
      </c>
    </row>
    <row r="61" spans="1:29" ht="13.5" thickTop="1" thickBot="1" x14ac:dyDescent="0.25">
      <c r="B61" s="70"/>
      <c r="C61" s="153"/>
      <c r="D61" s="162">
        <v>0</v>
      </c>
      <c r="E61" s="62"/>
      <c r="F61" s="220">
        <v>0</v>
      </c>
      <c r="G61" s="224"/>
      <c r="H61" s="225"/>
      <c r="I61" s="224"/>
      <c r="J61" s="225"/>
      <c r="K61" s="224"/>
      <c r="L61" s="225"/>
      <c r="M61" s="224"/>
      <c r="N61" s="225"/>
      <c r="O61" s="224"/>
      <c r="P61" s="225"/>
      <c r="Q61" s="224"/>
      <c r="R61" s="225"/>
      <c r="S61" s="224"/>
      <c r="T61" s="225"/>
      <c r="U61" s="224"/>
      <c r="V61" s="225"/>
      <c r="W61" s="224"/>
      <c r="X61" s="225"/>
      <c r="Y61" s="224"/>
      <c r="Z61" s="225"/>
    </row>
    <row r="62" spans="1:29" thickTop="1" x14ac:dyDescent="0.2">
      <c r="B62" s="70"/>
      <c r="C62" s="71"/>
      <c r="D62" s="72"/>
      <c r="E62" s="71"/>
      <c r="F62" s="73"/>
      <c r="G62" s="224"/>
      <c r="H62" s="225"/>
      <c r="I62" s="224"/>
      <c r="J62" s="225"/>
      <c r="K62" s="224"/>
      <c r="L62" s="225"/>
      <c r="M62" s="224"/>
      <c r="N62" s="225"/>
      <c r="O62" s="224"/>
      <c r="P62" s="225"/>
      <c r="Q62" s="224"/>
      <c r="R62" s="225"/>
      <c r="S62" s="224"/>
      <c r="T62" s="225"/>
      <c r="U62" s="224"/>
      <c r="V62" s="225"/>
      <c r="W62" s="224"/>
      <c r="X62" s="225"/>
      <c r="Y62" s="224"/>
      <c r="Z62" s="225"/>
    </row>
    <row r="63" spans="1:29" ht="13.5" thickBot="1" x14ac:dyDescent="0.25">
      <c r="A63" s="3" t="s">
        <v>46</v>
      </c>
      <c r="B63" s="70"/>
      <c r="C63" s="71"/>
      <c r="D63" s="72"/>
      <c r="E63" s="71"/>
      <c r="F63" s="73"/>
      <c r="G63" s="224"/>
      <c r="H63" s="225"/>
      <c r="I63" s="733"/>
      <c r="J63" s="225"/>
      <c r="K63" s="224"/>
      <c r="L63" s="225"/>
      <c r="M63" s="224"/>
      <c r="N63" s="225"/>
      <c r="O63" s="224"/>
      <c r="P63" s="225"/>
      <c r="Q63" s="224"/>
      <c r="R63" s="225"/>
      <c r="S63" s="224"/>
      <c r="T63" s="225"/>
      <c r="U63" s="224"/>
      <c r="V63" s="225"/>
      <c r="W63" s="224"/>
      <c r="X63" s="225"/>
      <c r="Y63" s="224"/>
      <c r="Z63" s="225"/>
    </row>
    <row r="64" spans="1:29" ht="13.5" thickTop="1" thickBot="1" x14ac:dyDescent="0.25">
      <c r="B64" s="415"/>
      <c r="C64" s="71"/>
      <c r="D64" s="72"/>
      <c r="E64" s="71"/>
      <c r="F64" s="73"/>
      <c r="G64" s="1286" t="s">
        <v>83</v>
      </c>
      <c r="H64" s="1255"/>
      <c r="I64" s="1331" t="s">
        <v>93</v>
      </c>
      <c r="J64" s="1250"/>
      <c r="K64" s="1267" t="s">
        <v>94</v>
      </c>
      <c r="L64" s="1250"/>
      <c r="M64" s="1267" t="s">
        <v>100</v>
      </c>
      <c r="N64" s="1251"/>
      <c r="O64" s="1250" t="s">
        <v>143</v>
      </c>
      <c r="P64" s="1251"/>
      <c r="Q64" s="1250" t="s">
        <v>149</v>
      </c>
      <c r="R64" s="1251"/>
      <c r="S64" s="1250" t="s">
        <v>167</v>
      </c>
      <c r="T64" s="1251"/>
      <c r="U64" s="1250" t="s">
        <v>181</v>
      </c>
      <c r="V64" s="1251"/>
      <c r="W64" s="1250" t="s">
        <v>194</v>
      </c>
      <c r="X64" s="1251"/>
      <c r="Y64" s="1250" t="s">
        <v>203</v>
      </c>
      <c r="Z64" s="1251"/>
      <c r="AB64" s="1259" t="s">
        <v>133</v>
      </c>
      <c r="AC64" s="1268"/>
    </row>
    <row r="65" spans="2:29" ht="14.25" customHeight="1" thickTop="1" thickBot="1" x14ac:dyDescent="0.25">
      <c r="B65" s="44" t="s">
        <v>31</v>
      </c>
      <c r="C65" s="1292" t="s">
        <v>27</v>
      </c>
      <c r="D65" s="1293"/>
      <c r="E65" s="1294" t="s">
        <v>28</v>
      </c>
      <c r="F65" s="1294"/>
      <c r="G65" s="229"/>
      <c r="H65" s="326"/>
      <c r="I65" s="301"/>
      <c r="J65" s="301"/>
      <c r="K65" s="229"/>
      <c r="L65" s="301"/>
      <c r="M65" s="229"/>
      <c r="N65" s="326"/>
      <c r="O65" s="301"/>
      <c r="P65" s="326"/>
      <c r="Q65" s="301"/>
      <c r="R65" s="326"/>
      <c r="S65" s="301"/>
      <c r="T65" s="326"/>
      <c r="U65" s="301"/>
      <c r="V65" s="326"/>
      <c r="W65" s="301"/>
      <c r="X65" s="326"/>
      <c r="Y65" s="301"/>
      <c r="Z65" s="326"/>
      <c r="AB65" s="523"/>
      <c r="AC65" s="272"/>
    </row>
    <row r="66" spans="2:29" ht="12" x14ac:dyDescent="0.2">
      <c r="B66" s="416" t="s">
        <v>32</v>
      </c>
      <c r="C66" s="129"/>
      <c r="D66" s="130"/>
      <c r="E66" s="31"/>
      <c r="F66" s="31"/>
      <c r="G66" s="209"/>
      <c r="H66" s="305"/>
      <c r="I66" s="284"/>
      <c r="J66" s="101"/>
      <c r="K66" s="209"/>
      <c r="L66" s="101"/>
      <c r="M66" s="209"/>
      <c r="N66" s="305"/>
      <c r="O66" s="284"/>
      <c r="P66" s="305"/>
      <c r="Q66" s="284"/>
      <c r="R66" s="305"/>
      <c r="S66" s="284"/>
      <c r="T66" s="305"/>
      <c r="U66" s="284"/>
      <c r="V66" s="305"/>
      <c r="W66" s="284"/>
      <c r="X66" s="305"/>
      <c r="Y66" s="284"/>
      <c r="Z66" s="305"/>
      <c r="AB66" s="523"/>
      <c r="AC66" s="272"/>
    </row>
    <row r="67" spans="2:29" ht="12" x14ac:dyDescent="0.2">
      <c r="B67" s="45" t="s">
        <v>33</v>
      </c>
      <c r="C67" s="131"/>
      <c r="D67" s="164"/>
      <c r="E67" s="32"/>
      <c r="F67" s="52"/>
      <c r="G67" s="209"/>
      <c r="H67" s="305">
        <v>10</v>
      </c>
      <c r="I67" s="284"/>
      <c r="J67" s="101">
        <v>11</v>
      </c>
      <c r="K67" s="209"/>
      <c r="L67" s="101">
        <v>7</v>
      </c>
      <c r="M67" s="209"/>
      <c r="N67" s="305">
        <v>10</v>
      </c>
      <c r="O67" s="284"/>
      <c r="P67" s="305">
        <v>10</v>
      </c>
      <c r="Q67" s="284"/>
      <c r="R67" s="305">
        <v>9</v>
      </c>
      <c r="S67" s="284"/>
      <c r="T67" s="305">
        <v>7</v>
      </c>
      <c r="U67" s="284"/>
      <c r="V67" s="305">
        <v>11</v>
      </c>
      <c r="W67" s="284"/>
      <c r="X67" s="305">
        <v>10</v>
      </c>
      <c r="Y67" s="284"/>
      <c r="Z67" s="305">
        <v>11</v>
      </c>
      <c r="AB67" s="636"/>
      <c r="AC67" s="626">
        <f t="shared" ref="AC67:AC68" si="11">AVERAGE(X67,V67,T67,R67,Z67)</f>
        <v>9.6</v>
      </c>
    </row>
    <row r="68" spans="2:29" ht="12" x14ac:dyDescent="0.2">
      <c r="B68" s="45" t="s">
        <v>103</v>
      </c>
      <c r="C68" s="131"/>
      <c r="D68" s="164">
        <v>9</v>
      </c>
      <c r="E68" s="32"/>
      <c r="F68" s="52">
        <v>9</v>
      </c>
      <c r="G68" s="209"/>
      <c r="H68" s="305">
        <v>2</v>
      </c>
      <c r="I68" s="284"/>
      <c r="J68" s="101">
        <v>3</v>
      </c>
      <c r="K68" s="209"/>
      <c r="L68" s="101">
        <v>4</v>
      </c>
      <c r="M68" s="209"/>
      <c r="N68" s="305">
        <v>0</v>
      </c>
      <c r="O68" s="284"/>
      <c r="P68" s="305">
        <v>2</v>
      </c>
      <c r="Q68" s="284"/>
      <c r="R68" s="305">
        <v>2</v>
      </c>
      <c r="S68" s="284"/>
      <c r="T68" s="305">
        <v>4</v>
      </c>
      <c r="U68" s="284"/>
      <c r="V68" s="305">
        <v>3</v>
      </c>
      <c r="W68" s="284"/>
      <c r="X68" s="305">
        <v>1</v>
      </c>
      <c r="Y68" s="284"/>
      <c r="Z68" s="305">
        <v>1</v>
      </c>
      <c r="AB68" s="636"/>
      <c r="AC68" s="626">
        <f t="shared" si="11"/>
        <v>2.2000000000000002</v>
      </c>
    </row>
    <row r="69" spans="2:29" ht="12" x14ac:dyDescent="0.2">
      <c r="B69" s="416" t="s">
        <v>34</v>
      </c>
      <c r="C69" s="131"/>
      <c r="D69" s="164">
        <v>0</v>
      </c>
      <c r="E69" s="32"/>
      <c r="F69" s="52">
        <v>1</v>
      </c>
      <c r="G69" s="209"/>
      <c r="H69" s="212"/>
      <c r="I69" s="284"/>
      <c r="J69" s="211"/>
      <c r="K69" s="209"/>
      <c r="L69" s="211"/>
      <c r="M69" s="209"/>
      <c r="N69" s="212"/>
      <c r="O69" s="284"/>
      <c r="P69" s="212"/>
      <c r="Q69" s="284"/>
      <c r="R69" s="212"/>
      <c r="S69" s="284"/>
      <c r="T69" s="212"/>
      <c r="U69" s="284"/>
      <c r="V69" s="212"/>
      <c r="W69" s="284"/>
      <c r="X69" s="212"/>
      <c r="Y69" s="284"/>
      <c r="Z69" s="212"/>
      <c r="AB69" s="622"/>
      <c r="AC69" s="613"/>
    </row>
    <row r="70" spans="2:29" ht="12" x14ac:dyDescent="0.2">
      <c r="B70" s="45" t="s">
        <v>33</v>
      </c>
      <c r="C70" s="131"/>
      <c r="D70" s="133"/>
      <c r="E70" s="32"/>
      <c r="F70" s="33"/>
      <c r="G70" s="209"/>
      <c r="H70" s="212">
        <v>5</v>
      </c>
      <c r="I70" s="284"/>
      <c r="J70" s="211">
        <v>5</v>
      </c>
      <c r="K70" s="209"/>
      <c r="L70" s="211">
        <v>8</v>
      </c>
      <c r="M70" s="209"/>
      <c r="N70" s="212">
        <v>7</v>
      </c>
      <c r="O70" s="284"/>
      <c r="P70" s="212">
        <v>6</v>
      </c>
      <c r="Q70" s="284"/>
      <c r="R70" s="212">
        <v>7</v>
      </c>
      <c r="S70" s="284"/>
      <c r="T70" s="212">
        <v>7</v>
      </c>
      <c r="U70" s="284"/>
      <c r="V70" s="212">
        <v>8</v>
      </c>
      <c r="W70" s="284"/>
      <c r="X70" s="212">
        <v>10</v>
      </c>
      <c r="Y70" s="284"/>
      <c r="Z70" s="212">
        <v>9</v>
      </c>
      <c r="AB70" s="636"/>
      <c r="AC70" s="626">
        <f t="shared" ref="AC70:AC72" si="12">AVERAGE(X70,V70,T70,R70,Z70)</f>
        <v>8.1999999999999993</v>
      </c>
    </row>
    <row r="71" spans="2:29" ht="12" x14ac:dyDescent="0.2">
      <c r="B71" s="417" t="s">
        <v>103</v>
      </c>
      <c r="C71" s="131"/>
      <c r="D71" s="133">
        <f>1+4</f>
        <v>5</v>
      </c>
      <c r="E71" s="32"/>
      <c r="F71" s="33">
        <v>4</v>
      </c>
      <c r="G71" s="209"/>
      <c r="H71" s="212">
        <v>2</v>
      </c>
      <c r="I71" s="284"/>
      <c r="J71" s="211">
        <v>2</v>
      </c>
      <c r="K71" s="209"/>
      <c r="L71" s="211">
        <v>2</v>
      </c>
      <c r="M71" s="209"/>
      <c r="N71" s="212">
        <v>0</v>
      </c>
      <c r="O71" s="284"/>
      <c r="P71" s="212">
        <v>0</v>
      </c>
      <c r="Q71" s="284"/>
      <c r="R71" s="212">
        <v>0</v>
      </c>
      <c r="S71" s="284"/>
      <c r="T71" s="212">
        <v>0</v>
      </c>
      <c r="U71" s="284"/>
      <c r="V71" s="212">
        <v>0</v>
      </c>
      <c r="W71" s="284"/>
      <c r="X71" s="212">
        <v>0</v>
      </c>
      <c r="Y71" s="284"/>
      <c r="Z71" s="212">
        <v>0</v>
      </c>
      <c r="AB71" s="636"/>
      <c r="AC71" s="914">
        <f t="shared" si="12"/>
        <v>0</v>
      </c>
    </row>
    <row r="72" spans="2:29" thickBot="1" x14ac:dyDescent="0.25">
      <c r="B72" s="49" t="s">
        <v>14</v>
      </c>
      <c r="C72" s="131"/>
      <c r="D72" s="133">
        <v>2</v>
      </c>
      <c r="E72" s="32"/>
      <c r="F72" s="33">
        <v>2</v>
      </c>
      <c r="G72" s="260"/>
      <c r="H72" s="306">
        <v>19</v>
      </c>
      <c r="I72" s="339"/>
      <c r="J72" s="364">
        <f>SUM(J67:J71)</f>
        <v>21</v>
      </c>
      <c r="K72" s="260"/>
      <c r="L72" s="364">
        <f>SUM(L67:L71)</f>
        <v>21</v>
      </c>
      <c r="M72" s="260"/>
      <c r="N72" s="306">
        <f>SUM(N67:N71)</f>
        <v>17</v>
      </c>
      <c r="O72" s="339"/>
      <c r="P72" s="306">
        <f>SUM(P67:P71)</f>
        <v>18</v>
      </c>
      <c r="Q72" s="339"/>
      <c r="R72" s="306">
        <f>SUM(R67:R71)</f>
        <v>18</v>
      </c>
      <c r="S72" s="339"/>
      <c r="T72" s="306">
        <f>SUM(T67:T71)</f>
        <v>18</v>
      </c>
      <c r="U72" s="339"/>
      <c r="V72" s="306">
        <f>SUM(V67:V71)</f>
        <v>22</v>
      </c>
      <c r="W72" s="339"/>
      <c r="X72" s="306">
        <f>SUM(X67:X71)</f>
        <v>21</v>
      </c>
      <c r="Y72" s="339"/>
      <c r="Z72" s="306">
        <f>SUM(Z67:Z71)</f>
        <v>21</v>
      </c>
      <c r="AB72" s="615"/>
      <c r="AC72" s="616">
        <f t="shared" si="12"/>
        <v>20</v>
      </c>
    </row>
    <row r="73" spans="2:29" ht="13.5" thickTop="1" thickBot="1" x14ac:dyDescent="0.25">
      <c r="B73" s="418" t="s">
        <v>76</v>
      </c>
      <c r="C73" s="165"/>
      <c r="D73" s="135">
        <f>SUM(D68:D72)</f>
        <v>16</v>
      </c>
      <c r="E73" s="79"/>
      <c r="F73" s="56">
        <f>SUM(F68:F72)</f>
        <v>16</v>
      </c>
      <c r="G73" s="248" t="s">
        <v>74</v>
      </c>
      <c r="H73" s="328" t="s">
        <v>75</v>
      </c>
      <c r="I73" s="248" t="s">
        <v>74</v>
      </c>
      <c r="J73" s="328" t="s">
        <v>75</v>
      </c>
      <c r="K73" s="248" t="s">
        <v>74</v>
      </c>
      <c r="L73" s="328" t="s">
        <v>75</v>
      </c>
      <c r="M73" s="248" t="s">
        <v>74</v>
      </c>
      <c r="N73" s="328" t="s">
        <v>75</v>
      </c>
      <c r="O73" s="248" t="s">
        <v>74</v>
      </c>
      <c r="P73" s="328" t="s">
        <v>75</v>
      </c>
      <c r="Q73" s="248" t="s">
        <v>74</v>
      </c>
      <c r="R73" s="328" t="s">
        <v>75</v>
      </c>
      <c r="S73" s="248" t="s">
        <v>74</v>
      </c>
      <c r="T73" s="328" t="s">
        <v>75</v>
      </c>
      <c r="U73" s="248" t="s">
        <v>74</v>
      </c>
      <c r="V73" s="328" t="s">
        <v>75</v>
      </c>
      <c r="W73" s="248" t="s">
        <v>74</v>
      </c>
      <c r="X73" s="328" t="s">
        <v>75</v>
      </c>
      <c r="Y73" s="248" t="s">
        <v>74</v>
      </c>
      <c r="Z73" s="328" t="s">
        <v>75</v>
      </c>
      <c r="AB73" s="617" t="s">
        <v>74</v>
      </c>
      <c r="AC73" s="612" t="s">
        <v>75</v>
      </c>
    </row>
    <row r="74" spans="2:29" thickTop="1" x14ac:dyDescent="0.2">
      <c r="B74" s="45" t="s">
        <v>57</v>
      </c>
      <c r="C74" s="166"/>
      <c r="D74" s="167"/>
      <c r="E74" s="123"/>
      <c r="F74" s="163"/>
      <c r="G74" s="168">
        <v>13</v>
      </c>
      <c r="H74" s="329">
        <f t="shared" ref="H74:J81" si="13">G74/H$72</f>
        <v>0.68421052631578949</v>
      </c>
      <c r="I74" s="124">
        <v>15</v>
      </c>
      <c r="J74" s="176">
        <f t="shared" si="13"/>
        <v>0.7142857142857143</v>
      </c>
      <c r="K74" s="168">
        <v>14</v>
      </c>
      <c r="L74" s="176">
        <f t="shared" ref="L74:N81" si="14">K74/L$72</f>
        <v>0.66666666666666663</v>
      </c>
      <c r="M74" s="168">
        <v>12</v>
      </c>
      <c r="N74" s="329">
        <f t="shared" si="14"/>
        <v>0.70588235294117652</v>
      </c>
      <c r="O74" s="124">
        <v>12</v>
      </c>
      <c r="P74" s="329">
        <f t="shared" ref="P74:R81" si="15">O74/P$72</f>
        <v>0.66666666666666663</v>
      </c>
      <c r="Q74" s="124">
        <v>12</v>
      </c>
      <c r="R74" s="329">
        <f t="shared" si="15"/>
        <v>0.66666666666666663</v>
      </c>
      <c r="S74" s="124">
        <f>9+4</f>
        <v>13</v>
      </c>
      <c r="T74" s="329">
        <f t="shared" ref="T74:T81" si="16">S74/T$72</f>
        <v>0.72222222222222221</v>
      </c>
      <c r="U74" s="124">
        <v>15</v>
      </c>
      <c r="V74" s="329">
        <f t="shared" ref="V74:V81" si="17">U74/V$72</f>
        <v>0.68181818181818177</v>
      </c>
      <c r="W74" s="124">
        <v>16</v>
      </c>
      <c r="X74" s="329">
        <f t="shared" ref="X74:X81" si="18">W74/X$72</f>
        <v>0.76190476190476186</v>
      </c>
      <c r="Y74" s="124">
        <v>18</v>
      </c>
      <c r="Z74" s="329">
        <f t="shared" ref="Z74:Z81" si="19">Y74/Z$72</f>
        <v>0.8571428571428571</v>
      </c>
      <c r="AB74" s="662">
        <f t="shared" ref="AB74:AB81" si="20">AVERAGE(W74,U74,S74,Q74,Y74)</f>
        <v>14.8</v>
      </c>
      <c r="AC74" s="665">
        <f t="shared" ref="AC74:AC81" si="21">AVERAGE(X74,V74,T74,R74,Z74)</f>
        <v>0.73795093795093791</v>
      </c>
    </row>
    <row r="75" spans="2:29" ht="12" x14ac:dyDescent="0.2">
      <c r="B75" s="94" t="s">
        <v>58</v>
      </c>
      <c r="C75" s="168">
        <v>13</v>
      </c>
      <c r="D75" s="169">
        <f>C75/D$73</f>
        <v>0.8125</v>
      </c>
      <c r="E75" s="124">
        <v>13</v>
      </c>
      <c r="F75" s="176">
        <f t="shared" ref="F75:F82" si="22">E75/F$73</f>
        <v>0.8125</v>
      </c>
      <c r="G75" s="168">
        <v>1</v>
      </c>
      <c r="H75" s="329">
        <f t="shared" si="13"/>
        <v>5.2631578947368418E-2</v>
      </c>
      <c r="I75" s="124">
        <v>1</v>
      </c>
      <c r="J75" s="176">
        <f t="shared" si="13"/>
        <v>4.7619047619047616E-2</v>
      </c>
      <c r="K75" s="168">
        <v>1</v>
      </c>
      <c r="L75" s="176">
        <f t="shared" si="14"/>
        <v>4.7619047619047616E-2</v>
      </c>
      <c r="M75" s="168">
        <v>1</v>
      </c>
      <c r="N75" s="329">
        <f t="shared" si="14"/>
        <v>5.8823529411764705E-2</v>
      </c>
      <c r="O75" s="124">
        <v>1</v>
      </c>
      <c r="P75" s="329">
        <f t="shared" si="15"/>
        <v>5.5555555555555552E-2</v>
      </c>
      <c r="Q75" s="124">
        <v>1</v>
      </c>
      <c r="R75" s="329">
        <f t="shared" si="15"/>
        <v>5.5555555555555552E-2</v>
      </c>
      <c r="S75" s="124">
        <f>1</f>
        <v>1</v>
      </c>
      <c r="T75" s="329">
        <f t="shared" si="16"/>
        <v>5.5555555555555552E-2</v>
      </c>
      <c r="U75" s="124">
        <v>1</v>
      </c>
      <c r="V75" s="329">
        <f t="shared" si="17"/>
        <v>4.5454545454545456E-2</v>
      </c>
      <c r="W75" s="124">
        <v>1</v>
      </c>
      <c r="X75" s="329">
        <f t="shared" si="18"/>
        <v>4.7619047619047616E-2</v>
      </c>
      <c r="Y75" s="124">
        <v>1</v>
      </c>
      <c r="Z75" s="329">
        <f t="shared" si="19"/>
        <v>4.7619047619047616E-2</v>
      </c>
      <c r="AB75" s="662">
        <f t="shared" si="20"/>
        <v>1</v>
      </c>
      <c r="AC75" s="665">
        <f t="shared" si="21"/>
        <v>5.0360750360750363E-2</v>
      </c>
    </row>
    <row r="76" spans="2:29" ht="12" x14ac:dyDescent="0.2">
      <c r="B76" s="94" t="s">
        <v>59</v>
      </c>
      <c r="C76" s="168">
        <v>0</v>
      </c>
      <c r="D76" s="169">
        <f t="shared" ref="D76:D94" si="23">C76/$D$73</f>
        <v>0</v>
      </c>
      <c r="E76" s="124">
        <v>0</v>
      </c>
      <c r="F76" s="176">
        <f t="shared" si="22"/>
        <v>0</v>
      </c>
      <c r="G76" s="168">
        <v>2</v>
      </c>
      <c r="H76" s="329">
        <f t="shared" si="13"/>
        <v>0.10526315789473684</v>
      </c>
      <c r="I76" s="124">
        <v>2</v>
      </c>
      <c r="J76" s="176">
        <f t="shared" si="13"/>
        <v>9.5238095238095233E-2</v>
      </c>
      <c r="K76" s="168">
        <v>2</v>
      </c>
      <c r="L76" s="176">
        <f t="shared" si="14"/>
        <v>9.5238095238095233E-2</v>
      </c>
      <c r="M76" s="168">
        <v>1</v>
      </c>
      <c r="N76" s="329">
        <f t="shared" si="14"/>
        <v>5.8823529411764705E-2</v>
      </c>
      <c r="O76" s="124">
        <v>1</v>
      </c>
      <c r="P76" s="329">
        <f t="shared" si="15"/>
        <v>5.5555555555555552E-2</v>
      </c>
      <c r="Q76" s="124">
        <v>2</v>
      </c>
      <c r="R76" s="329">
        <f t="shared" si="15"/>
        <v>0.1111111111111111</v>
      </c>
      <c r="S76" s="124">
        <f>1</f>
        <v>1</v>
      </c>
      <c r="T76" s="329">
        <f t="shared" si="16"/>
        <v>5.5555555555555552E-2</v>
      </c>
      <c r="U76" s="124">
        <v>1</v>
      </c>
      <c r="V76" s="329">
        <f t="shared" si="17"/>
        <v>4.5454545454545456E-2</v>
      </c>
      <c r="W76" s="124">
        <v>1</v>
      </c>
      <c r="X76" s="329">
        <f t="shared" si="18"/>
        <v>4.7619047619047616E-2</v>
      </c>
      <c r="Y76" s="124">
        <v>1</v>
      </c>
      <c r="Z76" s="329">
        <f t="shared" si="19"/>
        <v>4.7619047619047616E-2</v>
      </c>
      <c r="AB76" s="662">
        <f t="shared" si="20"/>
        <v>1.2</v>
      </c>
      <c r="AC76" s="665">
        <f t="shared" si="21"/>
        <v>6.1471861471861469E-2</v>
      </c>
    </row>
    <row r="77" spans="2:29" ht="12" x14ac:dyDescent="0.2">
      <c r="B77" s="94" t="s">
        <v>60</v>
      </c>
      <c r="C77" s="168">
        <v>1</v>
      </c>
      <c r="D77" s="169">
        <f t="shared" si="23"/>
        <v>6.25E-2</v>
      </c>
      <c r="E77" s="124">
        <v>1</v>
      </c>
      <c r="F77" s="176">
        <f t="shared" si="22"/>
        <v>6.25E-2</v>
      </c>
      <c r="G77" s="168">
        <v>0</v>
      </c>
      <c r="H77" s="329">
        <f t="shared" si="13"/>
        <v>0</v>
      </c>
      <c r="I77" s="124">
        <v>0</v>
      </c>
      <c r="J77" s="176">
        <f t="shared" si="13"/>
        <v>0</v>
      </c>
      <c r="K77" s="168">
        <v>0</v>
      </c>
      <c r="L77" s="176">
        <f t="shared" si="14"/>
        <v>0</v>
      </c>
      <c r="M77" s="168">
        <v>0</v>
      </c>
      <c r="N77" s="329">
        <f t="shared" si="14"/>
        <v>0</v>
      </c>
      <c r="O77" s="124">
        <v>0</v>
      </c>
      <c r="P77" s="329">
        <f t="shared" si="15"/>
        <v>0</v>
      </c>
      <c r="Q77" s="124">
        <v>0</v>
      </c>
      <c r="R77" s="329">
        <f t="shared" si="15"/>
        <v>0</v>
      </c>
      <c r="S77" s="124">
        <f>0</f>
        <v>0</v>
      </c>
      <c r="T77" s="329">
        <f t="shared" si="16"/>
        <v>0</v>
      </c>
      <c r="U77" s="124">
        <v>0</v>
      </c>
      <c r="V77" s="329">
        <f t="shared" si="17"/>
        <v>0</v>
      </c>
      <c r="W77" s="124">
        <v>0</v>
      </c>
      <c r="X77" s="329">
        <f t="shared" si="18"/>
        <v>0</v>
      </c>
      <c r="Y77" s="124">
        <v>0</v>
      </c>
      <c r="Z77" s="329">
        <f t="shared" si="19"/>
        <v>0</v>
      </c>
      <c r="AB77" s="662">
        <f t="shared" si="20"/>
        <v>0</v>
      </c>
      <c r="AC77" s="665">
        <f t="shared" si="21"/>
        <v>0</v>
      </c>
    </row>
    <row r="78" spans="2:29" ht="12" x14ac:dyDescent="0.2">
      <c r="B78" s="94" t="s">
        <v>61</v>
      </c>
      <c r="C78" s="168">
        <v>0</v>
      </c>
      <c r="D78" s="169">
        <f t="shared" si="23"/>
        <v>0</v>
      </c>
      <c r="E78" s="124">
        <v>0</v>
      </c>
      <c r="F78" s="176">
        <f t="shared" si="22"/>
        <v>0</v>
      </c>
      <c r="G78" s="168">
        <v>3</v>
      </c>
      <c r="H78" s="329">
        <f t="shared" si="13"/>
        <v>0.15789473684210525</v>
      </c>
      <c r="I78" s="124">
        <v>2</v>
      </c>
      <c r="J78" s="176">
        <f t="shared" si="13"/>
        <v>9.5238095238095233E-2</v>
      </c>
      <c r="K78" s="168">
        <v>1</v>
      </c>
      <c r="L78" s="176">
        <f t="shared" si="14"/>
        <v>4.7619047619047616E-2</v>
      </c>
      <c r="M78" s="168">
        <v>3</v>
      </c>
      <c r="N78" s="329">
        <f t="shared" si="14"/>
        <v>0.17647058823529413</v>
      </c>
      <c r="O78" s="124">
        <v>3</v>
      </c>
      <c r="P78" s="329">
        <f t="shared" si="15"/>
        <v>0.16666666666666666</v>
      </c>
      <c r="Q78" s="124">
        <v>3</v>
      </c>
      <c r="R78" s="329">
        <f t="shared" si="15"/>
        <v>0.16666666666666666</v>
      </c>
      <c r="S78" s="124">
        <f>3</f>
        <v>3</v>
      </c>
      <c r="T78" s="329">
        <f t="shared" si="16"/>
        <v>0.16666666666666666</v>
      </c>
      <c r="U78" s="124">
        <v>3</v>
      </c>
      <c r="V78" s="329">
        <f t="shared" si="17"/>
        <v>0.13636363636363635</v>
      </c>
      <c r="W78" s="124">
        <v>2</v>
      </c>
      <c r="X78" s="329">
        <f t="shared" si="18"/>
        <v>9.5238095238095233E-2</v>
      </c>
      <c r="Y78" s="124">
        <v>1</v>
      </c>
      <c r="Z78" s="329">
        <f t="shared" si="19"/>
        <v>4.7619047619047616E-2</v>
      </c>
      <c r="AB78" s="662">
        <f t="shared" si="20"/>
        <v>2.4</v>
      </c>
      <c r="AC78" s="665">
        <f t="shared" si="21"/>
        <v>0.1225108225108225</v>
      </c>
    </row>
    <row r="79" spans="2:29" ht="12" x14ac:dyDescent="0.2">
      <c r="B79" s="94" t="s">
        <v>62</v>
      </c>
      <c r="C79" s="168">
        <v>1</v>
      </c>
      <c r="D79" s="169">
        <f t="shared" si="23"/>
        <v>6.25E-2</v>
      </c>
      <c r="E79" s="124">
        <v>1</v>
      </c>
      <c r="F79" s="176">
        <f t="shared" si="22"/>
        <v>6.25E-2</v>
      </c>
      <c r="G79" s="168">
        <v>0</v>
      </c>
      <c r="H79" s="329">
        <f t="shared" si="13"/>
        <v>0</v>
      </c>
      <c r="I79" s="124">
        <v>1</v>
      </c>
      <c r="J79" s="176">
        <f t="shared" si="13"/>
        <v>4.7619047619047616E-2</v>
      </c>
      <c r="K79" s="168">
        <v>0</v>
      </c>
      <c r="L79" s="176">
        <f t="shared" si="14"/>
        <v>0</v>
      </c>
      <c r="M79" s="168">
        <v>0</v>
      </c>
      <c r="N79" s="329">
        <f t="shared" si="14"/>
        <v>0</v>
      </c>
      <c r="O79" s="124">
        <v>1</v>
      </c>
      <c r="P79" s="329">
        <f t="shared" si="15"/>
        <v>5.5555555555555552E-2</v>
      </c>
      <c r="Q79" s="124">
        <v>0</v>
      </c>
      <c r="R79" s="329">
        <f t="shared" si="15"/>
        <v>0</v>
      </c>
      <c r="S79" s="124">
        <f>0</f>
        <v>0</v>
      </c>
      <c r="T79" s="329">
        <f t="shared" si="16"/>
        <v>0</v>
      </c>
      <c r="U79" s="124">
        <v>2</v>
      </c>
      <c r="V79" s="329">
        <f t="shared" si="17"/>
        <v>9.0909090909090912E-2</v>
      </c>
      <c r="W79" s="124">
        <v>1</v>
      </c>
      <c r="X79" s="329">
        <f t="shared" si="18"/>
        <v>4.7619047619047616E-2</v>
      </c>
      <c r="Y79" s="124">
        <v>0</v>
      </c>
      <c r="Z79" s="329">
        <f t="shared" si="19"/>
        <v>0</v>
      </c>
      <c r="AB79" s="662">
        <f t="shared" si="20"/>
        <v>0.6</v>
      </c>
      <c r="AC79" s="665">
        <f t="shared" si="21"/>
        <v>2.7705627705627706E-2</v>
      </c>
    </row>
    <row r="80" spans="2:29" ht="12" x14ac:dyDescent="0.2">
      <c r="B80" s="94" t="s">
        <v>155</v>
      </c>
      <c r="C80" s="168"/>
      <c r="D80" s="169"/>
      <c r="E80" s="124"/>
      <c r="F80" s="176"/>
      <c r="G80" s="910"/>
      <c r="H80" s="911"/>
      <c r="I80" s="912"/>
      <c r="J80" s="913"/>
      <c r="K80" s="910"/>
      <c r="L80" s="913"/>
      <c r="M80" s="910"/>
      <c r="N80" s="911"/>
      <c r="O80" s="912"/>
      <c r="P80" s="911"/>
      <c r="Q80" s="125">
        <v>0</v>
      </c>
      <c r="R80" s="329">
        <f t="shared" si="15"/>
        <v>0</v>
      </c>
      <c r="S80" s="125">
        <f>0</f>
        <v>0</v>
      </c>
      <c r="T80" s="329">
        <f t="shared" si="16"/>
        <v>0</v>
      </c>
      <c r="U80" s="125">
        <v>0</v>
      </c>
      <c r="V80" s="329">
        <f t="shared" si="17"/>
        <v>0</v>
      </c>
      <c r="W80" s="125">
        <v>0</v>
      </c>
      <c r="X80" s="329">
        <f t="shared" si="18"/>
        <v>0</v>
      </c>
      <c r="Y80" s="125">
        <v>0</v>
      </c>
      <c r="Z80" s="329">
        <f t="shared" si="19"/>
        <v>0</v>
      </c>
      <c r="AB80" s="662">
        <f t="shared" si="20"/>
        <v>0</v>
      </c>
      <c r="AC80" s="665">
        <f t="shared" si="21"/>
        <v>0</v>
      </c>
    </row>
    <row r="81" spans="1:31" ht="12" x14ac:dyDescent="0.2">
      <c r="B81" s="94" t="s">
        <v>63</v>
      </c>
      <c r="C81" s="168">
        <v>1</v>
      </c>
      <c r="D81" s="169">
        <f t="shared" si="23"/>
        <v>6.25E-2</v>
      </c>
      <c r="E81" s="124">
        <v>1</v>
      </c>
      <c r="F81" s="176">
        <f t="shared" si="22"/>
        <v>6.25E-2</v>
      </c>
      <c r="G81" s="170">
        <v>0</v>
      </c>
      <c r="H81" s="329">
        <f t="shared" si="13"/>
        <v>0</v>
      </c>
      <c r="I81" s="125">
        <v>0</v>
      </c>
      <c r="J81" s="176">
        <f t="shared" si="13"/>
        <v>0</v>
      </c>
      <c r="K81" s="170">
        <v>0</v>
      </c>
      <c r="L81" s="176">
        <f t="shared" si="14"/>
        <v>0</v>
      </c>
      <c r="M81" s="170">
        <v>0</v>
      </c>
      <c r="N81" s="329">
        <f t="shared" si="14"/>
        <v>0</v>
      </c>
      <c r="O81" s="125">
        <v>0</v>
      </c>
      <c r="P81" s="329">
        <f t="shared" si="15"/>
        <v>0</v>
      </c>
      <c r="Q81" s="125">
        <v>0</v>
      </c>
      <c r="R81" s="329">
        <f t="shared" si="15"/>
        <v>0</v>
      </c>
      <c r="S81" s="125">
        <f>0</f>
        <v>0</v>
      </c>
      <c r="T81" s="329">
        <f t="shared" si="16"/>
        <v>0</v>
      </c>
      <c r="U81" s="125">
        <v>0</v>
      </c>
      <c r="V81" s="329">
        <f t="shared" si="17"/>
        <v>0</v>
      </c>
      <c r="W81" s="125">
        <v>0</v>
      </c>
      <c r="X81" s="329">
        <f t="shared" si="18"/>
        <v>0</v>
      </c>
      <c r="Y81" s="125">
        <v>0</v>
      </c>
      <c r="Z81" s="329">
        <f t="shared" si="19"/>
        <v>0</v>
      </c>
      <c r="AB81" s="662">
        <f t="shared" si="20"/>
        <v>0</v>
      </c>
      <c r="AC81" s="665">
        <f t="shared" si="21"/>
        <v>0</v>
      </c>
    </row>
    <row r="82" spans="1:31" ht="12" x14ac:dyDescent="0.2">
      <c r="B82" s="419" t="s">
        <v>77</v>
      </c>
      <c r="C82" s="170">
        <v>0</v>
      </c>
      <c r="D82" s="169">
        <f t="shared" si="23"/>
        <v>0</v>
      </c>
      <c r="E82" s="125">
        <v>0</v>
      </c>
      <c r="F82" s="176">
        <f t="shared" si="22"/>
        <v>0</v>
      </c>
      <c r="G82" s="249"/>
      <c r="H82" s="330"/>
      <c r="I82" s="180"/>
      <c r="J82" s="221"/>
      <c r="K82" s="249"/>
      <c r="L82" s="221"/>
      <c r="M82" s="249"/>
      <c r="N82" s="330"/>
      <c r="O82" s="180"/>
      <c r="P82" s="330"/>
      <c r="Q82" s="180"/>
      <c r="R82" s="330"/>
      <c r="S82" s="180"/>
      <c r="T82" s="330"/>
      <c r="U82" s="180"/>
      <c r="V82" s="330"/>
      <c r="W82" s="180"/>
      <c r="X82" s="330"/>
      <c r="Y82" s="180"/>
      <c r="Z82" s="330"/>
      <c r="AB82" s="666"/>
      <c r="AC82" s="663"/>
    </row>
    <row r="83" spans="1:31" ht="12" x14ac:dyDescent="0.2">
      <c r="B83" s="45" t="s">
        <v>64</v>
      </c>
      <c r="C83" s="171"/>
      <c r="D83" s="169"/>
      <c r="E83" s="180"/>
      <c r="F83" s="221"/>
      <c r="G83" s="183">
        <v>7</v>
      </c>
      <c r="H83" s="331">
        <f>G83/H$72</f>
        <v>0.36842105263157893</v>
      </c>
      <c r="I83" s="101">
        <v>9</v>
      </c>
      <c r="J83" s="176">
        <f>I83/J$72</f>
        <v>0.42857142857142855</v>
      </c>
      <c r="K83" s="183">
        <v>9</v>
      </c>
      <c r="L83" s="176">
        <f>K83/L$72</f>
        <v>0.42857142857142855</v>
      </c>
      <c r="M83" s="183">
        <v>9</v>
      </c>
      <c r="N83" s="329">
        <f>M83/N$72</f>
        <v>0.52941176470588236</v>
      </c>
      <c r="O83" s="101">
        <v>9</v>
      </c>
      <c r="P83" s="329">
        <f>O83/P$72</f>
        <v>0.5</v>
      </c>
      <c r="Q83" s="101">
        <v>8</v>
      </c>
      <c r="R83" s="329">
        <f>Q83/R$72</f>
        <v>0.44444444444444442</v>
      </c>
      <c r="S83" s="101">
        <f>8</f>
        <v>8</v>
      </c>
      <c r="T83" s="329">
        <f>S83/T$72</f>
        <v>0.44444444444444442</v>
      </c>
      <c r="U83" s="101">
        <v>9</v>
      </c>
      <c r="V83" s="329">
        <f>U83/V$72</f>
        <v>0.40909090909090912</v>
      </c>
      <c r="W83" s="101">
        <v>8</v>
      </c>
      <c r="X83" s="329">
        <f>W83/X$72</f>
        <v>0.38095238095238093</v>
      </c>
      <c r="Y83" s="101">
        <v>6</v>
      </c>
      <c r="Z83" s="329">
        <f>Y83/Z$72</f>
        <v>0.2857142857142857</v>
      </c>
      <c r="AB83" s="662">
        <f t="shared" ref="AB83:AB84" si="24">AVERAGE(W83,U83,S83,Q83,Y83)</f>
        <v>7.8</v>
      </c>
      <c r="AC83" s="665">
        <f t="shared" ref="AC83:AC84" si="25">AVERAGE(X83,V83,T83,R83,Z83)</f>
        <v>0.39292929292929291</v>
      </c>
    </row>
    <row r="84" spans="1:31" ht="12" x14ac:dyDescent="0.2">
      <c r="B84" s="45" t="s">
        <v>65</v>
      </c>
      <c r="C84" s="183">
        <v>7</v>
      </c>
      <c r="D84" s="169">
        <f t="shared" si="23"/>
        <v>0.4375</v>
      </c>
      <c r="E84" s="52">
        <v>7</v>
      </c>
      <c r="F84" s="222">
        <f>E84/F$73</f>
        <v>0.4375</v>
      </c>
      <c r="G84" s="250">
        <v>12</v>
      </c>
      <c r="H84" s="331">
        <f>G84/H$72</f>
        <v>0.63157894736842102</v>
      </c>
      <c r="I84" s="323">
        <v>12</v>
      </c>
      <c r="J84" s="176">
        <f>I84/J$72</f>
        <v>0.5714285714285714</v>
      </c>
      <c r="K84" s="250">
        <v>12</v>
      </c>
      <c r="L84" s="176">
        <f>K84/L$72</f>
        <v>0.5714285714285714</v>
      </c>
      <c r="M84" s="250">
        <v>8</v>
      </c>
      <c r="N84" s="329">
        <f>M84/N$72</f>
        <v>0.47058823529411764</v>
      </c>
      <c r="O84" s="323">
        <v>9</v>
      </c>
      <c r="P84" s="329">
        <f>O84/P$72</f>
        <v>0.5</v>
      </c>
      <c r="Q84" s="323">
        <v>10</v>
      </c>
      <c r="R84" s="329">
        <f>Q84/R$72</f>
        <v>0.55555555555555558</v>
      </c>
      <c r="S84" s="323">
        <f>6+4</f>
        <v>10</v>
      </c>
      <c r="T84" s="329">
        <f>S84/T$72</f>
        <v>0.55555555555555558</v>
      </c>
      <c r="U84" s="323">
        <v>13</v>
      </c>
      <c r="V84" s="329">
        <f>U84/V$72</f>
        <v>0.59090909090909094</v>
      </c>
      <c r="W84" s="323">
        <v>13</v>
      </c>
      <c r="X84" s="329">
        <f>W84/X$72</f>
        <v>0.61904761904761907</v>
      </c>
      <c r="Y84" s="323">
        <v>15</v>
      </c>
      <c r="Z84" s="329">
        <f>Y84/Z$72</f>
        <v>0.7142857142857143</v>
      </c>
      <c r="AB84" s="662">
        <f t="shared" si="24"/>
        <v>12.2</v>
      </c>
      <c r="AC84" s="665">
        <f t="shared" si="25"/>
        <v>0.60707070707070709</v>
      </c>
    </row>
    <row r="85" spans="1:31" ht="12" x14ac:dyDescent="0.2">
      <c r="B85" s="419" t="s">
        <v>78</v>
      </c>
      <c r="C85" s="183">
        <v>9</v>
      </c>
      <c r="D85" s="169">
        <f t="shared" si="23"/>
        <v>0.5625</v>
      </c>
      <c r="E85" s="178">
        <v>9</v>
      </c>
      <c r="F85" s="222">
        <f>E85/F$73</f>
        <v>0.5625</v>
      </c>
      <c r="G85" s="251"/>
      <c r="H85" s="331"/>
      <c r="I85" s="324"/>
      <c r="J85" s="176"/>
      <c r="K85" s="251"/>
      <c r="L85" s="176"/>
      <c r="M85" s="251"/>
      <c r="N85" s="329"/>
      <c r="O85" s="324"/>
      <c r="P85" s="329"/>
      <c r="Q85" s="324"/>
      <c r="R85" s="329"/>
      <c r="S85" s="324"/>
      <c r="T85" s="329"/>
      <c r="U85" s="324"/>
      <c r="V85" s="329"/>
      <c r="W85" s="324"/>
      <c r="X85" s="329"/>
      <c r="Y85" s="324"/>
      <c r="Z85" s="329"/>
      <c r="AB85" s="673"/>
      <c r="AC85" s="674"/>
    </row>
    <row r="86" spans="1:31" ht="12" x14ac:dyDescent="0.2">
      <c r="B86" s="45" t="s">
        <v>66</v>
      </c>
      <c r="C86" s="173"/>
      <c r="D86" s="169"/>
      <c r="E86" s="181"/>
      <c r="F86" s="222"/>
      <c r="G86" s="250">
        <v>6</v>
      </c>
      <c r="H86" s="331">
        <f>G86/H$72</f>
        <v>0.31578947368421051</v>
      </c>
      <c r="I86" s="323">
        <v>8</v>
      </c>
      <c r="J86" s="176">
        <f>I86/J$72</f>
        <v>0.38095238095238093</v>
      </c>
      <c r="K86" s="250">
        <v>7</v>
      </c>
      <c r="L86" s="176">
        <f>K86/L$72</f>
        <v>0.33333333333333331</v>
      </c>
      <c r="M86" s="250">
        <v>6</v>
      </c>
      <c r="N86" s="329">
        <f>M86/N$72</f>
        <v>0.35294117647058826</v>
      </c>
      <c r="O86" s="323">
        <v>7</v>
      </c>
      <c r="P86" s="329">
        <f>O86/P$72</f>
        <v>0.3888888888888889</v>
      </c>
      <c r="Q86" s="323">
        <v>7</v>
      </c>
      <c r="R86" s="329">
        <f>Q86/R$72</f>
        <v>0.3888888888888889</v>
      </c>
      <c r="S86" s="323">
        <f>7</f>
        <v>7</v>
      </c>
      <c r="T86" s="329">
        <f>S86/T$72</f>
        <v>0.3888888888888889</v>
      </c>
      <c r="U86" s="323">
        <v>9</v>
      </c>
      <c r="V86" s="329">
        <f>U86/V$72</f>
        <v>0.40909090909090912</v>
      </c>
      <c r="W86" s="323">
        <v>9</v>
      </c>
      <c r="X86" s="329">
        <f>W86/X$72</f>
        <v>0.42857142857142855</v>
      </c>
      <c r="Y86" s="323">
        <v>10</v>
      </c>
      <c r="Z86" s="329">
        <f>Y86/Z$72</f>
        <v>0.47619047619047616</v>
      </c>
      <c r="AB86" s="662">
        <f t="shared" ref="AB86:AB88" si="26">AVERAGE(W86,U86,S86,Q86,Y86)</f>
        <v>8.4</v>
      </c>
      <c r="AC86" s="665">
        <f t="shared" ref="AC86:AC88" si="27">AVERAGE(X86,V86,T86,R86,Z86)</f>
        <v>0.41832611832611832</v>
      </c>
    </row>
    <row r="87" spans="1:31" ht="12" x14ac:dyDescent="0.2">
      <c r="B87" s="45" t="s">
        <v>67</v>
      </c>
      <c r="C87" s="179">
        <v>5</v>
      </c>
      <c r="D87" s="169">
        <f t="shared" si="23"/>
        <v>0.3125</v>
      </c>
      <c r="E87" s="178">
        <v>5</v>
      </c>
      <c r="F87" s="222">
        <f>E87/F$73</f>
        <v>0.3125</v>
      </c>
      <c r="G87" s="250">
        <v>7</v>
      </c>
      <c r="H87" s="331">
        <f>G87/H$72</f>
        <v>0.36842105263157893</v>
      </c>
      <c r="I87" s="323">
        <v>5</v>
      </c>
      <c r="J87" s="176">
        <f>I87/J$72</f>
        <v>0.23809523809523808</v>
      </c>
      <c r="K87" s="250">
        <v>5</v>
      </c>
      <c r="L87" s="176">
        <f>K87/L$72</f>
        <v>0.23809523809523808</v>
      </c>
      <c r="M87" s="250">
        <v>6</v>
      </c>
      <c r="N87" s="329">
        <f>M87/N$72</f>
        <v>0.35294117647058826</v>
      </c>
      <c r="O87" s="323">
        <v>4</v>
      </c>
      <c r="P87" s="329">
        <f>O87/P$72</f>
        <v>0.22222222222222221</v>
      </c>
      <c r="Q87" s="323">
        <v>4</v>
      </c>
      <c r="R87" s="329">
        <f>Q87/R$72</f>
        <v>0.22222222222222221</v>
      </c>
      <c r="S87" s="323">
        <f>3</f>
        <v>3</v>
      </c>
      <c r="T87" s="329">
        <f>S87/T$72</f>
        <v>0.16666666666666666</v>
      </c>
      <c r="U87" s="323">
        <v>2</v>
      </c>
      <c r="V87" s="329">
        <f>U87/V$72</f>
        <v>9.0909090909090912E-2</v>
      </c>
      <c r="W87" s="323">
        <v>2</v>
      </c>
      <c r="X87" s="329">
        <f>W87/X$72</f>
        <v>9.5238095238095233E-2</v>
      </c>
      <c r="Y87" s="323">
        <v>5</v>
      </c>
      <c r="Z87" s="329">
        <f>Y87/Z$72</f>
        <v>0.23809523809523808</v>
      </c>
      <c r="AB87" s="662">
        <f t="shared" si="26"/>
        <v>3.2</v>
      </c>
      <c r="AC87" s="665">
        <f t="shared" si="27"/>
        <v>0.16262626262626262</v>
      </c>
    </row>
    <row r="88" spans="1:31" ht="12" x14ac:dyDescent="0.2">
      <c r="B88" s="45" t="s">
        <v>68</v>
      </c>
      <c r="C88" s="179">
        <v>7</v>
      </c>
      <c r="D88" s="169">
        <f t="shared" si="23"/>
        <v>0.4375</v>
      </c>
      <c r="E88" s="178">
        <v>6</v>
      </c>
      <c r="F88" s="222">
        <f>E88/F$73</f>
        <v>0.375</v>
      </c>
      <c r="G88" s="250">
        <v>6</v>
      </c>
      <c r="H88" s="331">
        <f>G88/H$72</f>
        <v>0.31578947368421051</v>
      </c>
      <c r="I88" s="323">
        <v>8</v>
      </c>
      <c r="J88" s="176">
        <f>I88/J$72</f>
        <v>0.38095238095238093</v>
      </c>
      <c r="K88" s="250">
        <v>9</v>
      </c>
      <c r="L88" s="176">
        <f>K88/L$72</f>
        <v>0.42857142857142855</v>
      </c>
      <c r="M88" s="250">
        <v>5</v>
      </c>
      <c r="N88" s="329">
        <f>M88/N$72</f>
        <v>0.29411764705882354</v>
      </c>
      <c r="O88" s="323">
        <v>7</v>
      </c>
      <c r="P88" s="329">
        <f>O88/P$72</f>
        <v>0.3888888888888889</v>
      </c>
      <c r="Q88" s="323">
        <v>7</v>
      </c>
      <c r="R88" s="329">
        <f>Q88/R$72</f>
        <v>0.3888888888888889</v>
      </c>
      <c r="S88" s="323">
        <f>4+4</f>
        <v>8</v>
      </c>
      <c r="T88" s="329">
        <f>S88/T$72</f>
        <v>0.44444444444444442</v>
      </c>
      <c r="U88" s="323">
        <v>11</v>
      </c>
      <c r="V88" s="329">
        <f>U88/V$72</f>
        <v>0.5</v>
      </c>
      <c r="W88" s="323">
        <v>10</v>
      </c>
      <c r="X88" s="329">
        <f>W88/X$72</f>
        <v>0.47619047619047616</v>
      </c>
      <c r="Y88" s="323">
        <v>6</v>
      </c>
      <c r="Z88" s="329">
        <f>Y88/Z$72</f>
        <v>0.2857142857142857</v>
      </c>
      <c r="AB88" s="662">
        <f t="shared" si="26"/>
        <v>8.4</v>
      </c>
      <c r="AC88" s="665">
        <f t="shared" si="27"/>
        <v>0.419047619047619</v>
      </c>
    </row>
    <row r="89" spans="1:31" ht="12" x14ac:dyDescent="0.2">
      <c r="B89" s="419" t="s">
        <v>79</v>
      </c>
      <c r="C89" s="179">
        <v>4</v>
      </c>
      <c r="D89" s="169">
        <f t="shared" si="23"/>
        <v>0.25</v>
      </c>
      <c r="E89" s="178">
        <v>5</v>
      </c>
      <c r="F89" s="222">
        <f>E89/F$73</f>
        <v>0.3125</v>
      </c>
      <c r="G89" s="251"/>
      <c r="H89" s="331"/>
      <c r="I89" s="324"/>
      <c r="J89" s="176"/>
      <c r="K89" s="251"/>
      <c r="L89" s="176"/>
      <c r="M89" s="251"/>
      <c r="N89" s="329"/>
      <c r="O89" s="324"/>
      <c r="P89" s="329"/>
      <c r="Q89" s="324"/>
      <c r="R89" s="329"/>
      <c r="S89" s="324"/>
      <c r="T89" s="329"/>
      <c r="U89" s="324"/>
      <c r="V89" s="329"/>
      <c r="W89" s="324"/>
      <c r="X89" s="329"/>
      <c r="Y89" s="324"/>
      <c r="Z89" s="329"/>
      <c r="AB89" s="619"/>
      <c r="AC89" s="618"/>
    </row>
    <row r="90" spans="1:31" ht="12" x14ac:dyDescent="0.2">
      <c r="B90" s="45" t="s">
        <v>69</v>
      </c>
      <c r="C90" s="173"/>
      <c r="D90" s="169"/>
      <c r="E90" s="181"/>
      <c r="F90" s="222"/>
      <c r="G90" s="250">
        <v>14</v>
      </c>
      <c r="H90" s="331">
        <f>G90/H$72</f>
        <v>0.73684210526315785</v>
      </c>
      <c r="I90" s="323">
        <v>16</v>
      </c>
      <c r="J90" s="176">
        <f>I90/J$72</f>
        <v>0.76190476190476186</v>
      </c>
      <c r="K90" s="250">
        <v>17</v>
      </c>
      <c r="L90" s="176">
        <f>K90/L$72</f>
        <v>0.80952380952380953</v>
      </c>
      <c r="M90" s="250">
        <v>15</v>
      </c>
      <c r="N90" s="329">
        <f>M90/N$72</f>
        <v>0.88235294117647056</v>
      </c>
      <c r="O90" s="323">
        <v>15</v>
      </c>
      <c r="P90" s="329">
        <f>O90/P$72</f>
        <v>0.83333333333333337</v>
      </c>
      <c r="Q90" s="323">
        <v>15</v>
      </c>
      <c r="R90" s="329">
        <f>Q90/R$72</f>
        <v>0.83333333333333337</v>
      </c>
      <c r="S90" s="323">
        <f>13</f>
        <v>13</v>
      </c>
      <c r="T90" s="329">
        <f>S90/T$72</f>
        <v>0.72222222222222221</v>
      </c>
      <c r="U90" s="323">
        <v>18</v>
      </c>
      <c r="V90" s="329">
        <f>U90/V$72</f>
        <v>0.81818181818181823</v>
      </c>
      <c r="W90" s="323">
        <v>17</v>
      </c>
      <c r="X90" s="329">
        <f>W90/X$72</f>
        <v>0.80952380952380953</v>
      </c>
      <c r="Y90" s="323">
        <v>16</v>
      </c>
      <c r="Z90" s="329">
        <f>Y90/Z$72</f>
        <v>0.76190476190476186</v>
      </c>
      <c r="AB90" s="662">
        <f t="shared" ref="AB90:AB93" si="28">AVERAGE(W90,U90,S90,Q90,Y90)</f>
        <v>15.8</v>
      </c>
      <c r="AC90" s="665">
        <f t="shared" ref="AC90:AC93" si="29">AVERAGE(X90,V90,T90,R90,Z90)</f>
        <v>0.78903318903318909</v>
      </c>
    </row>
    <row r="91" spans="1:31" ht="12" x14ac:dyDescent="0.2">
      <c r="B91" s="45" t="s">
        <v>70</v>
      </c>
      <c r="C91" s="179">
        <v>13</v>
      </c>
      <c r="D91" s="169">
        <f t="shared" si="23"/>
        <v>0.8125</v>
      </c>
      <c r="E91" s="178">
        <v>13</v>
      </c>
      <c r="F91" s="222">
        <f>E91/F$73</f>
        <v>0.8125</v>
      </c>
      <c r="G91" s="250">
        <v>4</v>
      </c>
      <c r="H91" s="331">
        <f>G91/H$72</f>
        <v>0.21052631578947367</v>
      </c>
      <c r="I91" s="323">
        <v>5</v>
      </c>
      <c r="J91" s="176">
        <f>I91/J$72</f>
        <v>0.23809523809523808</v>
      </c>
      <c r="K91" s="250">
        <v>4</v>
      </c>
      <c r="L91" s="176">
        <f>K91/L$72</f>
        <v>0.19047619047619047</v>
      </c>
      <c r="M91" s="250">
        <v>2</v>
      </c>
      <c r="N91" s="329">
        <f>M91/N$72</f>
        <v>0.11764705882352941</v>
      </c>
      <c r="O91" s="323">
        <v>3</v>
      </c>
      <c r="P91" s="329">
        <f>O91/P$72</f>
        <v>0.16666666666666666</v>
      </c>
      <c r="Q91" s="323">
        <v>3</v>
      </c>
      <c r="R91" s="329">
        <f>Q91/R$72</f>
        <v>0.16666666666666666</v>
      </c>
      <c r="S91" s="323">
        <f>1+3</f>
        <v>4</v>
      </c>
      <c r="T91" s="329">
        <f>S91/T$72</f>
        <v>0.22222222222222221</v>
      </c>
      <c r="U91" s="323">
        <v>4</v>
      </c>
      <c r="V91" s="329">
        <f>U91/V$72</f>
        <v>0.18181818181818182</v>
      </c>
      <c r="W91" s="323">
        <v>4</v>
      </c>
      <c r="X91" s="329">
        <f>W91/X$72</f>
        <v>0.19047619047619047</v>
      </c>
      <c r="Y91" s="323">
        <v>5</v>
      </c>
      <c r="Z91" s="329">
        <f>Y91/Z$72</f>
        <v>0.23809523809523808</v>
      </c>
      <c r="AB91" s="662">
        <f t="shared" si="28"/>
        <v>4</v>
      </c>
      <c r="AC91" s="665">
        <f t="shared" si="29"/>
        <v>0.19985569985569981</v>
      </c>
    </row>
    <row r="92" spans="1:31" ht="12" x14ac:dyDescent="0.2">
      <c r="B92" s="45" t="s">
        <v>71</v>
      </c>
      <c r="C92" s="179">
        <v>3</v>
      </c>
      <c r="D92" s="169">
        <f t="shared" si="23"/>
        <v>0.1875</v>
      </c>
      <c r="E92" s="178">
        <v>3</v>
      </c>
      <c r="F92" s="222">
        <f>E92/F$73</f>
        <v>0.1875</v>
      </c>
      <c r="G92" s="250">
        <v>1</v>
      </c>
      <c r="H92" s="331">
        <f>G92/H$72</f>
        <v>5.2631578947368418E-2</v>
      </c>
      <c r="I92" s="323">
        <v>0</v>
      </c>
      <c r="J92" s="176">
        <f>I92/J$72</f>
        <v>0</v>
      </c>
      <c r="K92" s="250">
        <v>0</v>
      </c>
      <c r="L92" s="176">
        <f>K92/L$72</f>
        <v>0</v>
      </c>
      <c r="M92" s="250">
        <v>0</v>
      </c>
      <c r="N92" s="329">
        <f>M92/N$72</f>
        <v>0</v>
      </c>
      <c r="O92" s="323">
        <v>0</v>
      </c>
      <c r="P92" s="329">
        <f>O92/P$72</f>
        <v>0</v>
      </c>
      <c r="Q92" s="323">
        <v>0</v>
      </c>
      <c r="R92" s="329">
        <f>Q92/R$72</f>
        <v>0</v>
      </c>
      <c r="S92" s="323">
        <f>1</f>
        <v>1</v>
      </c>
      <c r="T92" s="329">
        <f>S92/T$72</f>
        <v>5.5555555555555552E-2</v>
      </c>
      <c r="U92" s="323">
        <v>0</v>
      </c>
      <c r="V92" s="329">
        <f>U92/V$72</f>
        <v>0</v>
      </c>
      <c r="W92" s="323">
        <v>0</v>
      </c>
      <c r="X92" s="329">
        <f>W92/X$72</f>
        <v>0</v>
      </c>
      <c r="Y92" s="323">
        <v>0</v>
      </c>
      <c r="Z92" s="329">
        <f>Y92/Z$72</f>
        <v>0</v>
      </c>
      <c r="AB92" s="662">
        <f t="shared" si="28"/>
        <v>0.2</v>
      </c>
      <c r="AC92" s="665">
        <f t="shared" si="29"/>
        <v>1.111111111111111E-2</v>
      </c>
    </row>
    <row r="93" spans="1:31" thickBot="1" x14ac:dyDescent="0.25">
      <c r="B93" s="120" t="s">
        <v>72</v>
      </c>
      <c r="C93" s="179">
        <v>0</v>
      </c>
      <c r="D93" s="169">
        <f t="shared" si="23"/>
        <v>0</v>
      </c>
      <c r="E93" s="178">
        <v>0</v>
      </c>
      <c r="F93" s="222">
        <f>E93/F$73</f>
        <v>0</v>
      </c>
      <c r="G93" s="252">
        <v>0</v>
      </c>
      <c r="H93" s="332">
        <f>G93/H$72</f>
        <v>0</v>
      </c>
      <c r="I93" s="325">
        <v>0</v>
      </c>
      <c r="J93" s="177">
        <f>I93/J$72</f>
        <v>0</v>
      </c>
      <c r="K93" s="252">
        <v>0</v>
      </c>
      <c r="L93" s="177">
        <f>K93/L$72</f>
        <v>0</v>
      </c>
      <c r="M93" s="252">
        <v>0</v>
      </c>
      <c r="N93" s="342">
        <f>M93/N$72</f>
        <v>0</v>
      </c>
      <c r="O93" s="325">
        <v>0</v>
      </c>
      <c r="P93" s="342">
        <f>O93/P$72</f>
        <v>0</v>
      </c>
      <c r="Q93" s="325">
        <v>0</v>
      </c>
      <c r="R93" s="342">
        <f>Q93/R$72</f>
        <v>0</v>
      </c>
      <c r="S93" s="325">
        <f>0</f>
        <v>0</v>
      </c>
      <c r="T93" s="342">
        <f>S93/T$72</f>
        <v>0</v>
      </c>
      <c r="U93" s="325">
        <v>0</v>
      </c>
      <c r="V93" s="342">
        <f>U93/V$72</f>
        <v>0</v>
      </c>
      <c r="W93" s="325">
        <v>0</v>
      </c>
      <c r="X93" s="342">
        <f>W93/X$72</f>
        <v>0</v>
      </c>
      <c r="Y93" s="325">
        <v>0</v>
      </c>
      <c r="Z93" s="342">
        <f>Y93/Z$72</f>
        <v>0</v>
      </c>
      <c r="AB93" s="667">
        <f t="shared" si="28"/>
        <v>0</v>
      </c>
      <c r="AC93" s="668">
        <f t="shared" si="29"/>
        <v>0</v>
      </c>
    </row>
    <row r="94" spans="1:31" ht="13.5" thickTop="1" thickBot="1" x14ac:dyDescent="0.25">
      <c r="B94" s="524" t="s">
        <v>104</v>
      </c>
      <c r="C94" s="174">
        <v>0</v>
      </c>
      <c r="D94" s="175">
        <f t="shared" si="23"/>
        <v>0</v>
      </c>
      <c r="E94" s="182">
        <v>0</v>
      </c>
      <c r="F94" s="223">
        <f>E94/F$73</f>
        <v>0</v>
      </c>
      <c r="G94" s="1286" t="s">
        <v>83</v>
      </c>
      <c r="H94" s="1255"/>
      <c r="I94" s="1250" t="s">
        <v>93</v>
      </c>
      <c r="J94" s="1250"/>
      <c r="K94" s="1267" t="s">
        <v>94</v>
      </c>
      <c r="L94" s="1250"/>
      <c r="M94" s="1267" t="s">
        <v>100</v>
      </c>
      <c r="N94" s="1251"/>
      <c r="O94" s="1250" t="s">
        <v>143</v>
      </c>
      <c r="P94" s="1251"/>
      <c r="Q94" s="1250" t="s">
        <v>149</v>
      </c>
      <c r="R94" s="1251"/>
      <c r="S94" s="1250" t="s">
        <v>167</v>
      </c>
      <c r="T94" s="1251"/>
      <c r="U94" s="1250" t="s">
        <v>181</v>
      </c>
      <c r="V94" s="1251"/>
      <c r="W94" s="1250" t="s">
        <v>194</v>
      </c>
      <c r="X94" s="1251"/>
      <c r="Y94" s="1250" t="s">
        <v>203</v>
      </c>
      <c r="Z94" s="1251"/>
      <c r="AB94" s="1259" t="s">
        <v>133</v>
      </c>
      <c r="AC94" s="1268"/>
    </row>
    <row r="95" spans="1:31" ht="14.25" customHeight="1" thickTop="1" thickBot="1" x14ac:dyDescent="0.25">
      <c r="A95" s="272"/>
      <c r="B95" s="525"/>
      <c r="C95" s="1292" t="s">
        <v>27</v>
      </c>
      <c r="D95" s="1293"/>
      <c r="E95" s="1294" t="s">
        <v>28</v>
      </c>
      <c r="F95" s="1294"/>
      <c r="G95" s="67" t="s">
        <v>74</v>
      </c>
      <c r="H95" s="526" t="s">
        <v>18</v>
      </c>
      <c r="I95" s="67" t="s">
        <v>74</v>
      </c>
      <c r="J95" s="526" t="s">
        <v>18</v>
      </c>
      <c r="K95" s="67" t="s">
        <v>74</v>
      </c>
      <c r="L95" s="526" t="s">
        <v>18</v>
      </c>
      <c r="M95" s="67" t="s">
        <v>74</v>
      </c>
      <c r="N95" s="526" t="s">
        <v>18</v>
      </c>
      <c r="O95" s="808" t="s">
        <v>74</v>
      </c>
      <c r="P95" s="526" t="s">
        <v>18</v>
      </c>
      <c r="Q95" s="921" t="s">
        <v>74</v>
      </c>
      <c r="R95" s="526" t="s">
        <v>18</v>
      </c>
      <c r="S95" s="921" t="s">
        <v>74</v>
      </c>
      <c r="T95" s="526" t="s">
        <v>18</v>
      </c>
      <c r="U95" s="921" t="s">
        <v>74</v>
      </c>
      <c r="V95" s="526" t="s">
        <v>18</v>
      </c>
      <c r="W95" s="921" t="s">
        <v>74</v>
      </c>
      <c r="X95" s="526" t="s">
        <v>18</v>
      </c>
      <c r="Y95" s="921" t="s">
        <v>74</v>
      </c>
      <c r="Z95" s="526" t="s">
        <v>18</v>
      </c>
      <c r="AA95" s="272"/>
      <c r="AB95" s="623" t="s">
        <v>74</v>
      </c>
      <c r="AC95" s="527" t="s">
        <v>18</v>
      </c>
      <c r="AD95"/>
      <c r="AE95"/>
    </row>
    <row r="96" spans="1:31" ht="14.25" customHeight="1" x14ac:dyDescent="0.2">
      <c r="A96" s="272"/>
      <c r="B96" s="417" t="s">
        <v>105</v>
      </c>
      <c r="C96" s="67" t="s">
        <v>74</v>
      </c>
      <c r="D96" s="526" t="s">
        <v>18</v>
      </c>
      <c r="E96" s="67" t="s">
        <v>74</v>
      </c>
      <c r="F96" s="526" t="s">
        <v>18</v>
      </c>
      <c r="G96" s="203">
        <v>22</v>
      </c>
      <c r="H96" s="529">
        <v>9.3000000000000007</v>
      </c>
      <c r="I96" s="203">
        <v>19</v>
      </c>
      <c r="J96" s="529">
        <v>9.4</v>
      </c>
      <c r="K96" s="67">
        <v>19</v>
      </c>
      <c r="L96" s="529">
        <v>8.4</v>
      </c>
      <c r="M96" s="598">
        <v>21</v>
      </c>
      <c r="N96" s="414">
        <v>8.6999999999999993</v>
      </c>
      <c r="O96" s="598">
        <v>19</v>
      </c>
      <c r="P96" s="823">
        <v>8</v>
      </c>
      <c r="Q96" s="598">
        <v>13</v>
      </c>
      <c r="R96" s="908">
        <v>6.25</v>
      </c>
      <c r="S96" s="598">
        <v>18</v>
      </c>
      <c r="T96" s="908">
        <v>8.4</v>
      </c>
      <c r="U96" s="598">
        <v>15</v>
      </c>
      <c r="V96" s="908">
        <v>7.25</v>
      </c>
      <c r="W96" s="598">
        <v>17</v>
      </c>
      <c r="X96" s="908">
        <v>8.25</v>
      </c>
      <c r="Y96" s="598">
        <v>16</v>
      </c>
      <c r="Z96" s="908">
        <v>7.8</v>
      </c>
      <c r="AA96" s="272"/>
      <c r="AB96" s="637">
        <f t="shared" ref="AB96:AB98" si="30">AVERAGE(W96,U96,S96,Q96,Y96)</f>
        <v>15.8</v>
      </c>
      <c r="AC96" s="743">
        <f t="shared" ref="AC96:AC98" si="31">AVERAGE(X96,V96,T96,R96,Z96)</f>
        <v>7.589999999999999</v>
      </c>
      <c r="AD96"/>
      <c r="AE96"/>
    </row>
    <row r="97" spans="1:31" ht="14.25" customHeight="1" x14ac:dyDescent="0.2">
      <c r="A97" s="272"/>
      <c r="B97" s="417" t="s">
        <v>106</v>
      </c>
      <c r="C97" s="67">
        <v>20</v>
      </c>
      <c r="D97" s="528">
        <v>9.6999999999999993</v>
      </c>
      <c r="E97" s="203">
        <v>25</v>
      </c>
      <c r="F97" s="529">
        <v>11.2</v>
      </c>
      <c r="G97" s="203">
        <v>5</v>
      </c>
      <c r="H97" s="529">
        <v>1.6</v>
      </c>
      <c r="I97" s="203">
        <v>5</v>
      </c>
      <c r="J97" s="529">
        <v>2.1</v>
      </c>
      <c r="K97" s="67">
        <v>6</v>
      </c>
      <c r="L97" s="529">
        <v>2.2999999999999998</v>
      </c>
      <c r="M97" s="598">
        <v>6</v>
      </c>
      <c r="N97" s="414">
        <v>2.2999999999999998</v>
      </c>
      <c r="O97" s="598">
        <v>4</v>
      </c>
      <c r="P97" s="823">
        <v>1.3</v>
      </c>
      <c r="Q97" s="598">
        <v>4</v>
      </c>
      <c r="R97" s="908">
        <v>2</v>
      </c>
      <c r="S97" s="598">
        <v>4</v>
      </c>
      <c r="T97" s="908">
        <v>1.8</v>
      </c>
      <c r="U97" s="598">
        <v>7</v>
      </c>
      <c r="V97" s="908">
        <v>1.75</v>
      </c>
      <c r="W97" s="598">
        <v>4</v>
      </c>
      <c r="X97" s="908">
        <v>1.75</v>
      </c>
      <c r="Y97" s="598">
        <v>6</v>
      </c>
      <c r="Z97" s="908">
        <v>2.8</v>
      </c>
      <c r="AA97" s="272"/>
      <c r="AB97" s="637">
        <f t="shared" si="30"/>
        <v>5</v>
      </c>
      <c r="AC97" s="743">
        <f t="shared" si="31"/>
        <v>2.02</v>
      </c>
      <c r="AD97"/>
      <c r="AE97"/>
    </row>
    <row r="98" spans="1:31" ht="14.25" customHeight="1" thickBot="1" x14ac:dyDescent="0.25">
      <c r="A98" s="272"/>
      <c r="B98" s="120" t="s">
        <v>132</v>
      </c>
      <c r="C98" s="67">
        <v>3</v>
      </c>
      <c r="D98" s="528">
        <v>0.8</v>
      </c>
      <c r="E98" s="203">
        <v>6</v>
      </c>
      <c r="F98" s="529">
        <v>1.3</v>
      </c>
      <c r="G98" s="683">
        <v>0</v>
      </c>
      <c r="H98" s="533">
        <v>0</v>
      </c>
      <c r="I98" s="683">
        <v>0</v>
      </c>
      <c r="J98" s="533">
        <v>0</v>
      </c>
      <c r="K98" s="532">
        <v>0</v>
      </c>
      <c r="L98" s="533">
        <v>0</v>
      </c>
      <c r="M98" s="599">
        <v>0</v>
      </c>
      <c r="N98" s="826">
        <v>0</v>
      </c>
      <c r="O98" s="599">
        <v>1</v>
      </c>
      <c r="P98" s="824">
        <v>0.5</v>
      </c>
      <c r="Q98" s="599">
        <v>0</v>
      </c>
      <c r="R98" s="909">
        <v>0</v>
      </c>
      <c r="S98" s="599">
        <v>0</v>
      </c>
      <c r="T98" s="909">
        <v>0</v>
      </c>
      <c r="U98" s="599">
        <v>0</v>
      </c>
      <c r="V98" s="909">
        <v>0</v>
      </c>
      <c r="W98" s="599">
        <v>4</v>
      </c>
      <c r="X98" s="909">
        <v>1.9</v>
      </c>
      <c r="Y98" s="599">
        <v>2</v>
      </c>
      <c r="Z98" s="909">
        <v>1</v>
      </c>
      <c r="AA98" s="272"/>
      <c r="AB98" s="684">
        <f t="shared" si="30"/>
        <v>1.2</v>
      </c>
      <c r="AC98" s="745">
        <f t="shared" si="31"/>
        <v>0.57999999999999996</v>
      </c>
      <c r="AD98"/>
      <c r="AE98"/>
    </row>
    <row r="99" spans="1:31" ht="14.25" customHeight="1" thickTop="1" thickBot="1" x14ac:dyDescent="0.25">
      <c r="A99" s="272"/>
      <c r="B99" s="535"/>
      <c r="C99" s="532">
        <v>0</v>
      </c>
      <c r="D99" s="531">
        <v>0</v>
      </c>
      <c r="E99" s="683">
        <v>0</v>
      </c>
      <c r="F99" s="533">
        <v>0</v>
      </c>
      <c r="G99" s="1280" t="s">
        <v>120</v>
      </c>
      <c r="H99" s="1253"/>
      <c r="I99" s="1280" t="s">
        <v>121</v>
      </c>
      <c r="J99" s="1291"/>
      <c r="K99" s="1280" t="s">
        <v>122</v>
      </c>
      <c r="L99" s="1291"/>
      <c r="M99" s="1269" t="s">
        <v>123</v>
      </c>
      <c r="N99" s="1253"/>
      <c r="O99" s="1252" t="s">
        <v>154</v>
      </c>
      <c r="P99" s="1256"/>
      <c r="Q99" s="1252" t="s">
        <v>150</v>
      </c>
      <c r="R99" s="1253"/>
      <c r="S99" s="1252" t="s">
        <v>164</v>
      </c>
      <c r="T99" s="1253"/>
      <c r="U99" s="1252" t="s">
        <v>182</v>
      </c>
      <c r="V99" s="1253"/>
      <c r="W99" s="1252" t="s">
        <v>195</v>
      </c>
      <c r="X99" s="1253"/>
      <c r="Y99" s="1252" t="s">
        <v>204</v>
      </c>
      <c r="Z99" s="1253"/>
      <c r="AA99" s="664"/>
      <c r="AB99" s="1261"/>
      <c r="AC99" s="1261"/>
      <c r="AD99" s="916"/>
      <c r="AE99"/>
    </row>
    <row r="100" spans="1:31" ht="17.25" thickTop="1" thickBot="1" x14ac:dyDescent="0.3">
      <c r="A100" s="534"/>
      <c r="B100" s="418" t="s">
        <v>131</v>
      </c>
      <c r="C100" s="1282" t="s">
        <v>29</v>
      </c>
      <c r="D100" s="1295"/>
      <c r="E100" s="1282" t="s">
        <v>30</v>
      </c>
      <c r="F100" s="1295"/>
      <c r="G100" s="540"/>
      <c r="H100" s="541"/>
      <c r="I100" s="542"/>
      <c r="J100" s="414"/>
      <c r="K100" s="543"/>
      <c r="L100" s="544"/>
      <c r="M100" s="543"/>
      <c r="N100" s="559"/>
      <c r="O100" s="878"/>
      <c r="P100" s="879"/>
      <c r="Q100" s="543"/>
      <c r="R100" s="559"/>
      <c r="S100" s="543"/>
      <c r="T100" s="559"/>
      <c r="U100" s="95"/>
      <c r="V100" s="847"/>
      <c r="W100" s="543"/>
      <c r="X100" s="559"/>
      <c r="Y100" s="543"/>
      <c r="Z100" s="559"/>
      <c r="AA100" s="4"/>
      <c r="AB100" s="4"/>
      <c r="AC100" s="4"/>
      <c r="AD100"/>
      <c r="AE100"/>
    </row>
    <row r="101" spans="1:31" x14ac:dyDescent="0.2">
      <c r="B101" s="918" t="s">
        <v>110</v>
      </c>
      <c r="C101" s="1"/>
      <c r="D101" s="537"/>
      <c r="E101" s="538"/>
      <c r="F101" s="539"/>
      <c r="G101" s="550"/>
      <c r="H101" s="551"/>
      <c r="I101" s="1304">
        <v>4.5</v>
      </c>
      <c r="J101" s="1305"/>
      <c r="K101" s="552"/>
      <c r="L101" s="553"/>
      <c r="M101" s="552"/>
      <c r="N101" s="559"/>
      <c r="O101" s="884"/>
      <c r="P101" s="885">
        <v>7.4</v>
      </c>
      <c r="Q101" s="552"/>
      <c r="R101" s="559"/>
      <c r="S101" s="552"/>
      <c r="T101" s="559"/>
      <c r="U101" s="202"/>
      <c r="V101" s="885">
        <v>6.68</v>
      </c>
      <c r="W101" s="552"/>
      <c r="X101" s="559"/>
      <c r="Y101" s="552"/>
      <c r="Z101" s="559"/>
      <c r="AA101" s="4"/>
      <c r="AB101" s="1302"/>
      <c r="AC101" s="1337"/>
      <c r="AD101"/>
      <c r="AE101"/>
    </row>
    <row r="102" spans="1:31" x14ac:dyDescent="0.2">
      <c r="A102" s="272"/>
      <c r="B102" s="554" t="s">
        <v>111</v>
      </c>
      <c r="C102" s="1302">
        <v>4.55</v>
      </c>
      <c r="D102" s="1303"/>
      <c r="E102" s="548"/>
      <c r="F102" s="549"/>
      <c r="G102" s="550"/>
      <c r="H102" s="551"/>
      <c r="I102" s="560"/>
      <c r="J102" s="561"/>
      <c r="K102" s="552"/>
      <c r="L102" s="553"/>
      <c r="M102" s="552"/>
      <c r="N102" s="559"/>
      <c r="O102" s="884"/>
      <c r="P102" s="885"/>
      <c r="Q102" s="552"/>
      <c r="R102" s="559"/>
      <c r="S102" s="552"/>
      <c r="T102" s="559"/>
      <c r="U102" s="202"/>
      <c r="V102" s="885"/>
      <c r="W102" s="552"/>
      <c r="X102" s="559"/>
      <c r="Y102" s="552"/>
      <c r="Z102" s="559"/>
      <c r="AA102" s="4"/>
      <c r="AB102" s="546"/>
      <c r="AC102" s="600"/>
      <c r="AD102"/>
      <c r="AE102"/>
    </row>
    <row r="103" spans="1:31" x14ac:dyDescent="0.2">
      <c r="A103" s="272"/>
      <c r="B103" s="554" t="s">
        <v>112</v>
      </c>
      <c r="C103" s="546"/>
      <c r="D103" s="547"/>
      <c r="E103" s="548"/>
      <c r="F103" s="549"/>
      <c r="G103" s="550"/>
      <c r="H103" s="551"/>
      <c r="I103" s="894"/>
      <c r="J103" s="867">
        <v>0.5</v>
      </c>
      <c r="K103" s="552"/>
      <c r="L103" s="553"/>
      <c r="M103" s="552"/>
      <c r="N103" s="559"/>
      <c r="O103" s="884"/>
      <c r="P103" s="885">
        <v>0</v>
      </c>
      <c r="Q103" s="552"/>
      <c r="R103" s="559"/>
      <c r="S103" s="552"/>
      <c r="T103" s="559"/>
      <c r="U103" s="202"/>
      <c r="V103" s="885">
        <v>0</v>
      </c>
      <c r="W103" s="552"/>
      <c r="X103" s="559"/>
      <c r="Y103" s="552"/>
      <c r="Z103" s="559"/>
      <c r="AA103" s="4"/>
      <c r="AB103" s="600"/>
      <c r="AC103" s="920"/>
      <c r="AD103"/>
      <c r="AE103"/>
    </row>
    <row r="104" spans="1:31" x14ac:dyDescent="0.2">
      <c r="A104" s="272"/>
      <c r="B104" s="545" t="s">
        <v>113</v>
      </c>
      <c r="C104" s="600"/>
      <c r="D104" s="611">
        <v>0</v>
      </c>
      <c r="E104" s="548"/>
      <c r="F104" s="549"/>
      <c r="G104" s="550"/>
      <c r="H104" s="551"/>
      <c r="I104" s="1304">
        <v>2.1</v>
      </c>
      <c r="J104" s="1305"/>
      <c r="K104" s="552"/>
      <c r="L104" s="553"/>
      <c r="M104" s="552"/>
      <c r="N104" s="559"/>
      <c r="O104" s="884"/>
      <c r="P104" s="885">
        <v>1.2</v>
      </c>
      <c r="Q104" s="552"/>
      <c r="R104" s="559"/>
      <c r="S104" s="552"/>
      <c r="T104" s="559"/>
      <c r="U104" s="202"/>
      <c r="V104" s="885">
        <v>1.75</v>
      </c>
      <c r="W104" s="552"/>
      <c r="X104" s="559"/>
      <c r="Y104" s="552"/>
      <c r="Z104" s="559"/>
      <c r="AA104" s="4"/>
      <c r="AB104" s="1302"/>
      <c r="AC104" s="1337"/>
      <c r="AD104"/>
      <c r="AE104"/>
    </row>
    <row r="105" spans="1:31" x14ac:dyDescent="0.2">
      <c r="A105" s="272"/>
      <c r="B105" s="555" t="s">
        <v>114</v>
      </c>
      <c r="C105" s="1302">
        <v>0.8</v>
      </c>
      <c r="D105" s="1303"/>
      <c r="E105" s="548"/>
      <c r="F105" s="549"/>
      <c r="G105" s="550"/>
      <c r="H105" s="551"/>
      <c r="I105" s="1304">
        <v>3.1</v>
      </c>
      <c r="J105" s="1305"/>
      <c r="K105" s="552"/>
      <c r="L105" s="553"/>
      <c r="M105" s="552"/>
      <c r="N105" s="559"/>
      <c r="O105" s="884"/>
      <c r="P105" s="885">
        <v>3.3</v>
      </c>
      <c r="Q105" s="552"/>
      <c r="R105" s="559"/>
      <c r="S105" s="552"/>
      <c r="T105" s="559"/>
      <c r="U105" s="202"/>
      <c r="V105" s="885">
        <f>2.5+1.57</f>
        <v>4.07</v>
      </c>
      <c r="W105" s="552"/>
      <c r="X105" s="559"/>
      <c r="Y105" s="552"/>
      <c r="Z105" s="559"/>
      <c r="AA105" s="4"/>
      <c r="AB105" s="1302"/>
      <c r="AC105" s="1337"/>
      <c r="AD105"/>
      <c r="AE105"/>
    </row>
    <row r="106" spans="1:31" x14ac:dyDescent="0.2">
      <c r="A106" s="272"/>
      <c r="B106" s="555" t="s">
        <v>115</v>
      </c>
      <c r="C106" s="1302">
        <v>1.9</v>
      </c>
      <c r="D106" s="1303"/>
      <c r="E106" s="548"/>
      <c r="F106" s="549"/>
      <c r="G106" s="550"/>
      <c r="H106" s="551"/>
      <c r="I106" s="1304">
        <f>SUM(I101:J105)</f>
        <v>10.199999999999999</v>
      </c>
      <c r="J106" s="1305"/>
      <c r="K106" s="552"/>
      <c r="L106" s="553"/>
      <c r="M106" s="552"/>
      <c r="N106" s="559"/>
      <c r="O106" s="884"/>
      <c r="P106" s="885">
        <f>SUM(P101:P105)</f>
        <v>11.899999999999999</v>
      </c>
      <c r="Q106" s="552"/>
      <c r="R106" s="559"/>
      <c r="S106" s="552"/>
      <c r="T106" s="559"/>
      <c r="U106" s="202"/>
      <c r="V106" s="885">
        <f>SUM(V101:V105)</f>
        <v>12.5</v>
      </c>
      <c r="W106" s="552"/>
      <c r="X106" s="559"/>
      <c r="Y106" s="552"/>
      <c r="Z106" s="559"/>
      <c r="AA106" s="4"/>
      <c r="AB106" s="1302"/>
      <c r="AC106" s="1337"/>
      <c r="AD106"/>
      <c r="AE106"/>
    </row>
    <row r="107" spans="1:31" ht="13.5" thickBot="1" x14ac:dyDescent="0.25">
      <c r="A107" s="272"/>
      <c r="B107" s="556" t="s">
        <v>125</v>
      </c>
      <c r="C107" s="1302">
        <f>SUM(C102:D106)</f>
        <v>7.25</v>
      </c>
      <c r="D107" s="1303"/>
      <c r="E107" s="548"/>
      <c r="F107" s="549"/>
      <c r="G107" s="550"/>
      <c r="H107" s="551"/>
      <c r="I107" s="1302"/>
      <c r="J107" s="1303"/>
      <c r="K107" s="552"/>
      <c r="L107" s="553"/>
      <c r="M107" s="552"/>
      <c r="N107" s="559"/>
      <c r="O107" s="884"/>
      <c r="P107" s="847"/>
      <c r="Q107" s="552"/>
      <c r="R107" s="559"/>
      <c r="S107" s="552"/>
      <c r="T107" s="559"/>
      <c r="U107" s="202"/>
      <c r="V107" s="847"/>
      <c r="W107" s="552"/>
      <c r="X107" s="559"/>
      <c r="Y107" s="552"/>
      <c r="Z107" s="559"/>
      <c r="AA107" s="4"/>
      <c r="AB107" s="1302"/>
      <c r="AC107" s="1337"/>
      <c r="AD107"/>
      <c r="AE107"/>
    </row>
    <row r="108" spans="1:31" x14ac:dyDescent="0.2">
      <c r="A108" s="272"/>
      <c r="B108" s="545" t="s">
        <v>116</v>
      </c>
      <c r="C108" s="1302"/>
      <c r="D108" s="1303"/>
      <c r="E108" s="548"/>
      <c r="F108" s="549"/>
      <c r="G108" s="543"/>
      <c r="H108" s="559"/>
      <c r="I108" s="1314">
        <v>1718</v>
      </c>
      <c r="J108" s="1315"/>
      <c r="K108" s="552"/>
      <c r="L108" s="553"/>
      <c r="M108" s="552"/>
      <c r="N108" s="559"/>
      <c r="O108" s="888"/>
      <c r="P108" s="869">
        <v>2895</v>
      </c>
      <c r="Q108" s="552"/>
      <c r="R108" s="559"/>
      <c r="S108" s="552"/>
      <c r="T108" s="559"/>
      <c r="U108" s="202"/>
      <c r="V108" s="869">
        <v>166</v>
      </c>
      <c r="W108" s="552"/>
      <c r="X108" s="559"/>
      <c r="Y108" s="552"/>
      <c r="Z108" s="559"/>
      <c r="AA108" s="4"/>
      <c r="AB108" s="1314"/>
      <c r="AC108" s="1338"/>
      <c r="AD108"/>
      <c r="AE108"/>
    </row>
    <row r="109" spans="1:31" x14ac:dyDescent="0.2">
      <c r="A109" s="272"/>
      <c r="B109" s="555" t="s">
        <v>117</v>
      </c>
      <c r="C109" s="1314">
        <v>1385</v>
      </c>
      <c r="D109" s="1315"/>
      <c r="E109" s="557"/>
      <c r="F109" s="558"/>
      <c r="G109" s="543"/>
      <c r="H109" s="559"/>
      <c r="I109" s="1314">
        <v>144</v>
      </c>
      <c r="J109" s="1315"/>
      <c r="K109" s="552"/>
      <c r="L109" s="553"/>
      <c r="M109" s="552"/>
      <c r="N109" s="559"/>
      <c r="O109" s="888"/>
      <c r="P109" s="869">
        <v>0</v>
      </c>
      <c r="Q109" s="552"/>
      <c r="R109" s="559"/>
      <c r="S109" s="552"/>
      <c r="T109" s="559"/>
      <c r="U109" s="202"/>
      <c r="V109" s="869">
        <v>0</v>
      </c>
      <c r="W109" s="552"/>
      <c r="X109" s="559"/>
      <c r="Y109" s="552"/>
      <c r="Z109" s="559"/>
      <c r="AA109" s="4"/>
      <c r="AB109" s="1314"/>
      <c r="AC109" s="1338"/>
      <c r="AD109"/>
      <c r="AE109"/>
    </row>
    <row r="110" spans="1:31" x14ac:dyDescent="0.2">
      <c r="A110" s="272"/>
      <c r="B110" s="555" t="s">
        <v>118</v>
      </c>
      <c r="C110" s="1314">
        <v>0</v>
      </c>
      <c r="D110" s="1315"/>
      <c r="E110" s="557"/>
      <c r="F110" s="558"/>
      <c r="G110" s="543"/>
      <c r="H110" s="559"/>
      <c r="I110" s="1314">
        <v>1658</v>
      </c>
      <c r="J110" s="1315"/>
      <c r="K110" s="552"/>
      <c r="L110" s="553"/>
      <c r="M110" s="552"/>
      <c r="N110" s="559"/>
      <c r="O110" s="888"/>
      <c r="P110" s="869">
        <f>265+249</f>
        <v>514</v>
      </c>
      <c r="Q110" s="552"/>
      <c r="R110" s="559"/>
      <c r="S110" s="552"/>
      <c r="T110" s="559"/>
      <c r="U110" s="202"/>
      <c r="V110" s="869">
        <f>1637+313</f>
        <v>1950</v>
      </c>
      <c r="W110" s="552"/>
      <c r="X110" s="559"/>
      <c r="Y110" s="552"/>
      <c r="Z110" s="559"/>
      <c r="AA110" s="4"/>
      <c r="AB110" s="1314"/>
      <c r="AC110" s="1338"/>
      <c r="AD110"/>
      <c r="AE110"/>
    </row>
    <row r="111" spans="1:31" x14ac:dyDescent="0.2">
      <c r="A111" s="272"/>
      <c r="B111" s="555" t="s">
        <v>130</v>
      </c>
      <c r="C111" s="1314">
        <v>1464</v>
      </c>
      <c r="D111" s="1315"/>
      <c r="E111" s="557"/>
      <c r="F111" s="558"/>
      <c r="G111" s="543"/>
      <c r="H111" s="559"/>
      <c r="I111" s="1314">
        <f>SUM(I108:J110)</f>
        <v>3520</v>
      </c>
      <c r="J111" s="1315"/>
      <c r="K111" s="552"/>
      <c r="L111" s="553"/>
      <c r="M111" s="552"/>
      <c r="N111" s="559"/>
      <c r="O111" s="888"/>
      <c r="P111" s="869">
        <f>SUM(P108:P110)</f>
        <v>3409</v>
      </c>
      <c r="Q111" s="552"/>
      <c r="R111" s="559"/>
      <c r="S111" s="552"/>
      <c r="T111" s="559"/>
      <c r="U111" s="202"/>
      <c r="V111" s="869">
        <f>SUM(V108:V110)</f>
        <v>2116</v>
      </c>
      <c r="W111" s="552"/>
      <c r="X111" s="559"/>
      <c r="Y111" s="552"/>
      <c r="Z111" s="559"/>
      <c r="AA111" s="4"/>
      <c r="AB111" s="1314"/>
      <c r="AC111" s="1338"/>
      <c r="AD111"/>
      <c r="AE111"/>
    </row>
    <row r="112" spans="1:31" ht="13.5" thickBot="1" x14ac:dyDescent="0.25">
      <c r="A112" s="272"/>
      <c r="B112" s="556" t="s">
        <v>126</v>
      </c>
      <c r="C112" s="1314">
        <f>SUM(C109:D111)</f>
        <v>2849</v>
      </c>
      <c r="D112" s="1315"/>
      <c r="E112" s="557"/>
      <c r="F112" s="558"/>
      <c r="G112" s="543"/>
      <c r="H112" s="559"/>
      <c r="I112" s="1304"/>
      <c r="J112" s="1300"/>
      <c r="K112" s="552"/>
      <c r="L112" s="553"/>
      <c r="M112" s="552"/>
      <c r="N112" s="559"/>
      <c r="O112" s="891"/>
      <c r="P112" s="885"/>
      <c r="Q112" s="552"/>
      <c r="R112" s="559"/>
      <c r="S112" s="552"/>
      <c r="T112" s="559"/>
      <c r="U112" s="202"/>
      <c r="V112" s="885"/>
      <c r="W112" s="552"/>
      <c r="X112" s="559"/>
      <c r="Y112" s="552"/>
      <c r="Z112" s="559"/>
      <c r="AA112" s="4"/>
      <c r="AB112" s="1304"/>
      <c r="AC112" s="1339"/>
      <c r="AD112"/>
      <c r="AE112"/>
    </row>
    <row r="113" spans="1:31" x14ac:dyDescent="0.2">
      <c r="A113" s="272"/>
      <c r="B113" s="545" t="s">
        <v>127</v>
      </c>
      <c r="C113" s="1304"/>
      <c r="D113" s="1300"/>
      <c r="E113" s="557"/>
      <c r="F113" s="558"/>
      <c r="G113" s="564"/>
      <c r="H113" s="565"/>
      <c r="I113" s="1312">
        <f>I108/I101</f>
        <v>381.77777777777777</v>
      </c>
      <c r="J113" s="1313"/>
      <c r="K113" s="552"/>
      <c r="L113" s="566"/>
      <c r="M113" s="552"/>
      <c r="N113" s="559"/>
      <c r="O113" s="891"/>
      <c r="P113" s="870">
        <f>P108/P101</f>
        <v>391.2162162162162</v>
      </c>
      <c r="Q113" s="552"/>
      <c r="R113" s="559"/>
      <c r="S113" s="552"/>
      <c r="T113" s="559"/>
      <c r="U113" s="202"/>
      <c r="V113" s="870">
        <f>V108/V101</f>
        <v>24.850299401197606</v>
      </c>
      <c r="W113" s="552"/>
      <c r="X113" s="559"/>
      <c r="Y113" s="552"/>
      <c r="Z113" s="559"/>
      <c r="AA113" s="4"/>
      <c r="AB113" s="1312"/>
      <c r="AC113" s="1336"/>
      <c r="AD113"/>
      <c r="AE113"/>
    </row>
    <row r="114" spans="1:31" x14ac:dyDescent="0.2">
      <c r="A114" s="272"/>
      <c r="B114" s="555" t="s">
        <v>128</v>
      </c>
      <c r="C114" s="1312">
        <f>C109/C102</f>
        <v>304.39560439560438</v>
      </c>
      <c r="D114" s="1313"/>
      <c r="E114" s="562"/>
      <c r="F114" s="563"/>
      <c r="G114" s="564"/>
      <c r="H114" s="565"/>
      <c r="I114" s="1312">
        <f>I109/J103</f>
        <v>288</v>
      </c>
      <c r="J114" s="1313"/>
      <c r="K114" s="552"/>
      <c r="L114" s="566"/>
      <c r="M114" s="552"/>
      <c r="N114" s="559"/>
      <c r="O114" s="891"/>
      <c r="P114" s="870">
        <v>0</v>
      </c>
      <c r="Q114" s="552"/>
      <c r="R114" s="559"/>
      <c r="S114" s="552"/>
      <c r="T114" s="559"/>
      <c r="U114" s="202"/>
      <c r="V114" s="870">
        <f>0</f>
        <v>0</v>
      </c>
      <c r="W114" s="552"/>
      <c r="X114" s="559"/>
      <c r="Y114" s="552"/>
      <c r="Z114" s="559"/>
      <c r="AA114" s="4"/>
      <c r="AB114" s="1312"/>
      <c r="AC114" s="1336"/>
      <c r="AD114"/>
      <c r="AE114"/>
    </row>
    <row r="115" spans="1:31" x14ac:dyDescent="0.2">
      <c r="A115" s="272"/>
      <c r="B115" s="555" t="s">
        <v>129</v>
      </c>
      <c r="C115" s="1312">
        <v>0</v>
      </c>
      <c r="D115" s="1313"/>
      <c r="E115" s="562"/>
      <c r="F115" s="563"/>
      <c r="G115" s="564"/>
      <c r="H115" s="565"/>
      <c r="I115" s="1312">
        <f>I110/I105</f>
        <v>534.83870967741939</v>
      </c>
      <c r="J115" s="1313"/>
      <c r="K115" s="552"/>
      <c r="L115" s="566"/>
      <c r="M115" s="552"/>
      <c r="N115" s="559"/>
      <c r="O115" s="891"/>
      <c r="P115" s="870">
        <f>P110/P105</f>
        <v>155.75757575757578</v>
      </c>
      <c r="Q115" s="552"/>
      <c r="R115" s="559"/>
      <c r="S115" s="552"/>
      <c r="T115" s="559"/>
      <c r="U115" s="202"/>
      <c r="V115" s="870">
        <f>V110/V105</f>
        <v>479.1154791154791</v>
      </c>
      <c r="W115" s="552"/>
      <c r="X115" s="559"/>
      <c r="Y115" s="552"/>
      <c r="Z115" s="559"/>
      <c r="AA115" s="4"/>
      <c r="AB115" s="1312"/>
      <c r="AC115" s="1336"/>
      <c r="AD115"/>
      <c r="AE115"/>
    </row>
    <row r="116" spans="1:31" ht="13.5" thickBot="1" x14ac:dyDescent="0.25">
      <c r="A116" s="272"/>
      <c r="B116" s="568" t="s">
        <v>119</v>
      </c>
      <c r="C116" s="1312">
        <f>C111/C106</f>
        <v>770.52631578947376</v>
      </c>
      <c r="D116" s="1313"/>
      <c r="E116" s="562"/>
      <c r="F116" s="563"/>
      <c r="G116" s="571"/>
      <c r="H116" s="572"/>
      <c r="I116" s="1310">
        <f>I111/I106</f>
        <v>345.0980392156863</v>
      </c>
      <c r="J116" s="1311"/>
      <c r="K116" s="573"/>
      <c r="L116" s="574"/>
      <c r="M116" s="573"/>
      <c r="N116" s="574"/>
      <c r="O116" s="892"/>
      <c r="P116" s="871">
        <f>P111/P106</f>
        <v>286.47058823529414</v>
      </c>
      <c r="Q116" s="573"/>
      <c r="R116" s="574"/>
      <c r="S116" s="573"/>
      <c r="T116" s="574"/>
      <c r="U116" s="413"/>
      <c r="V116" s="871">
        <f>V111/V106</f>
        <v>169.28</v>
      </c>
      <c r="W116" s="573"/>
      <c r="X116" s="574"/>
      <c r="Y116" s="573"/>
      <c r="Z116" s="574"/>
      <c r="AA116" s="4"/>
      <c r="AB116" s="1312"/>
      <c r="AC116" s="1336"/>
      <c r="AD116"/>
      <c r="AE116"/>
    </row>
    <row r="117" spans="1:31" ht="14.25" thickTop="1" thickBot="1" x14ac:dyDescent="0.25">
      <c r="A117" s="4"/>
      <c r="B117" s="917" t="str">
        <f>'HE Summary'!B118</f>
        <v>*Note: For the 2009 collection cycle and later, Instructional FTE was defined according to the national Delaware Study of Instructional Costs and Productivity</v>
      </c>
      <c r="C117" s="1310">
        <f>C112/C107</f>
        <v>392.9655172413793</v>
      </c>
      <c r="D117" s="1311"/>
      <c r="E117" s="569"/>
      <c r="F117" s="570"/>
      <c r="AD117"/>
      <c r="AE117"/>
    </row>
    <row r="118" spans="1:31" ht="13.5" thickTop="1" x14ac:dyDescent="0.2"/>
  </sheetData>
  <mergeCells count="142">
    <mergeCell ref="AB115:AC115"/>
    <mergeCell ref="AB116:AC116"/>
    <mergeCell ref="AB101:AC101"/>
    <mergeCell ref="AB104:AC104"/>
    <mergeCell ref="AB105:AC105"/>
    <mergeCell ref="AB106:AC106"/>
    <mergeCell ref="AB107:AC107"/>
    <mergeCell ref="AB108:AC108"/>
    <mergeCell ref="AB109:AC109"/>
    <mergeCell ref="AB110:AC110"/>
    <mergeCell ref="AB111:AC111"/>
    <mergeCell ref="AB112:AC112"/>
    <mergeCell ref="AB113:AC113"/>
    <mergeCell ref="AB114:AC114"/>
    <mergeCell ref="AB21:AC21"/>
    <mergeCell ref="AB29:AC29"/>
    <mergeCell ref="O64:P64"/>
    <mergeCell ref="O94:P94"/>
    <mergeCell ref="AB36:AC36"/>
    <mergeCell ref="AB6:AC6"/>
    <mergeCell ref="S6:T6"/>
    <mergeCell ref="S21:T21"/>
    <mergeCell ref="S29:T29"/>
    <mergeCell ref="S36:T36"/>
    <mergeCell ref="W6:X6"/>
    <mergeCell ref="W21:X21"/>
    <mergeCell ref="W29:X29"/>
    <mergeCell ref="W36:X36"/>
    <mergeCell ref="W64:X64"/>
    <mergeCell ref="W94:X94"/>
    <mergeCell ref="U6:V6"/>
    <mergeCell ref="U21:V21"/>
    <mergeCell ref="U29:V29"/>
    <mergeCell ref="U36:V36"/>
    <mergeCell ref="U64:V64"/>
    <mergeCell ref="U94:V94"/>
    <mergeCell ref="Q6:R6"/>
    <mergeCell ref="Q21:R21"/>
    <mergeCell ref="O99:P99"/>
    <mergeCell ref="AB64:AC64"/>
    <mergeCell ref="AB99:AC99"/>
    <mergeCell ref="AB94:AC94"/>
    <mergeCell ref="Q99:R99"/>
    <mergeCell ref="S99:T99"/>
    <mergeCell ref="Q64:R64"/>
    <mergeCell ref="Q94:R94"/>
    <mergeCell ref="S64:T64"/>
    <mergeCell ref="S94:T94"/>
    <mergeCell ref="W99:X99"/>
    <mergeCell ref="U99:V99"/>
    <mergeCell ref="Y94:Z94"/>
    <mergeCell ref="Y99:Z99"/>
    <mergeCell ref="C31:D31"/>
    <mergeCell ref="E31:F31"/>
    <mergeCell ref="G30:H30"/>
    <mergeCell ref="I30:J30"/>
    <mergeCell ref="M6:N6"/>
    <mergeCell ref="M21:N21"/>
    <mergeCell ref="K6:L6"/>
    <mergeCell ref="K21:L21"/>
    <mergeCell ref="K29:L29"/>
    <mergeCell ref="I6:J6"/>
    <mergeCell ref="I21:J21"/>
    <mergeCell ref="G21:H21"/>
    <mergeCell ref="E22:F22"/>
    <mergeCell ref="C22:D22"/>
    <mergeCell ref="I31:J31"/>
    <mergeCell ref="G31:H31"/>
    <mergeCell ref="G29:H29"/>
    <mergeCell ref="I29:J29"/>
    <mergeCell ref="M29:N29"/>
    <mergeCell ref="C117:D117"/>
    <mergeCell ref="I116:J116"/>
    <mergeCell ref="C30:D30"/>
    <mergeCell ref="E30:F30"/>
    <mergeCell ref="C115:D115"/>
    <mergeCell ref="I114:J114"/>
    <mergeCell ref="C116:D116"/>
    <mergeCell ref="I115:J115"/>
    <mergeCell ref="C113:D113"/>
    <mergeCell ref="I112:J112"/>
    <mergeCell ref="C114:D114"/>
    <mergeCell ref="I113:J113"/>
    <mergeCell ref="I110:J110"/>
    <mergeCell ref="C112:D112"/>
    <mergeCell ref="I111:J111"/>
    <mergeCell ref="C111:D111"/>
    <mergeCell ref="C109:D109"/>
    <mergeCell ref="I108:J108"/>
    <mergeCell ref="C110:D110"/>
    <mergeCell ref="I109:J109"/>
    <mergeCell ref="C107:D107"/>
    <mergeCell ref="I106:J106"/>
    <mergeCell ref="C108:D108"/>
    <mergeCell ref="I107:J107"/>
    <mergeCell ref="C106:D106"/>
    <mergeCell ref="I101:J101"/>
    <mergeCell ref="I104:J104"/>
    <mergeCell ref="I105:J105"/>
    <mergeCell ref="C105:D105"/>
    <mergeCell ref="E37:F37"/>
    <mergeCell ref="C37:D37"/>
    <mergeCell ref="E100:F100"/>
    <mergeCell ref="C95:D95"/>
    <mergeCell ref="E95:F95"/>
    <mergeCell ref="C102:D102"/>
    <mergeCell ref="C100:D100"/>
    <mergeCell ref="C32:D32"/>
    <mergeCell ref="E32:F32"/>
    <mergeCell ref="M94:N94"/>
    <mergeCell ref="K99:L99"/>
    <mergeCell ref="M99:N99"/>
    <mergeCell ref="I94:J94"/>
    <mergeCell ref="G99:H99"/>
    <mergeCell ref="I99:J99"/>
    <mergeCell ref="G94:H94"/>
    <mergeCell ref="K94:L94"/>
    <mergeCell ref="C33:D33"/>
    <mergeCell ref="E33:F33"/>
    <mergeCell ref="G32:H32"/>
    <mergeCell ref="M36:N36"/>
    <mergeCell ref="E65:F65"/>
    <mergeCell ref="C65:D65"/>
    <mergeCell ref="G36:H36"/>
    <mergeCell ref="G64:H64"/>
    <mergeCell ref="K36:L36"/>
    <mergeCell ref="K64:L64"/>
    <mergeCell ref="M64:N64"/>
    <mergeCell ref="I64:J64"/>
    <mergeCell ref="I36:J36"/>
    <mergeCell ref="I32:J32"/>
    <mergeCell ref="O6:P6"/>
    <mergeCell ref="O21:P21"/>
    <mergeCell ref="O29:P29"/>
    <mergeCell ref="O36:P36"/>
    <mergeCell ref="Y6:Z6"/>
    <mergeCell ref="Y21:Z21"/>
    <mergeCell ref="Y29:Z29"/>
    <mergeCell ref="Y36:Z36"/>
    <mergeCell ref="Y64:Z64"/>
    <mergeCell ref="Q29:R29"/>
    <mergeCell ref="Q36:R36"/>
  </mergeCells>
  <phoneticPr fontId="0" type="noConversion"/>
  <printOptions horizontalCentered="1"/>
  <pageMargins left="0.5" right="0.5" top="0.4" bottom="0.5" header="0.5" footer="0.5"/>
  <pageSetup scale="68" fitToHeight="2" orientation="landscape" r:id="rId1"/>
  <headerFooter alignWithMargins="0">
    <oddFooter>&amp;R&amp;P of &amp;N
&amp;D</oddFooter>
  </headerFooter>
  <rowBreaks count="1" manualBreakCount="1">
    <brk id="61" max="16383" man="1"/>
  </rowBreaks>
  <ignoredErrors>
    <ignoredError sqref="S74:S9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0"/>
  <sheetViews>
    <sheetView view="pageBreakPreview" zoomScaleNormal="85" zoomScaleSheetLayoutView="100" workbookViewId="0">
      <pane xSplit="2" ySplit="1" topLeftCell="C2" activePane="bottomRight" state="frozen"/>
      <selection activeCell="Y91" sqref="Y91:Z91"/>
      <selection pane="topRight" activeCell="Y91" sqref="Y91:Z91"/>
      <selection pane="bottomLeft" activeCell="Y91" sqref="Y91:Z91"/>
      <selection pane="bottomRight" activeCell="Y91" sqref="Y91:Z91"/>
    </sheetView>
  </sheetViews>
  <sheetFormatPr defaultColWidth="10.28515625" defaultRowHeight="12.75" x14ac:dyDescent="0.2"/>
  <cols>
    <col min="1" max="1" width="3.7109375" style="1" customWidth="1"/>
    <col min="2" max="2" width="33.85546875" style="1" customWidth="1"/>
    <col min="3" max="3" width="7.7109375" hidden="1" customWidth="1"/>
    <col min="4" max="4" width="10.42578125" hidden="1" customWidth="1"/>
    <col min="5" max="5" width="7.7109375" hidden="1" customWidth="1"/>
    <col min="6" max="6" width="0.28515625" hidden="1" customWidth="1"/>
    <col min="7" max="7" width="7.7109375" style="199" hidden="1" customWidth="1"/>
    <col min="8" max="8" width="10.42578125" style="199" hidden="1" customWidth="1"/>
    <col min="9" max="9" width="7.7109375" style="199" hidden="1" customWidth="1"/>
    <col min="10" max="10" width="10.42578125" style="199" hidden="1" customWidth="1"/>
    <col min="11" max="11" width="7.7109375" style="1" hidden="1" customWidth="1"/>
    <col min="12" max="12" width="10.7109375" style="1" hidden="1" customWidth="1"/>
    <col min="13" max="13" width="7.7109375" style="1" hidden="1" customWidth="1"/>
    <col min="14" max="14" width="10.5703125" style="1" hidden="1" customWidth="1"/>
    <col min="15" max="15" width="7.7109375" style="1" customWidth="1"/>
    <col min="16" max="16" width="11" style="1" customWidth="1"/>
    <col min="17" max="17" width="7.7109375" style="1" customWidth="1"/>
    <col min="18" max="18" width="11" style="1" customWidth="1"/>
    <col min="19" max="19" width="7.7109375" style="1" customWidth="1"/>
    <col min="20" max="20" width="10.85546875" style="1" bestFit="1" customWidth="1"/>
    <col min="21" max="21" width="7.7109375" style="1" customWidth="1"/>
    <col min="22" max="22" width="10.42578125" style="1" customWidth="1"/>
    <col min="23" max="23" width="7.7109375" style="1" customWidth="1"/>
    <col min="24" max="24" width="10.42578125" style="1" customWidth="1"/>
    <col min="25" max="25" width="7.7109375" style="1" customWidth="1"/>
    <col min="26" max="26" width="10.42578125" style="1" customWidth="1"/>
    <col min="27" max="27" width="2.140625" style="1" customWidth="1"/>
    <col min="28" max="28" width="9.140625" style="1" customWidth="1"/>
    <col min="29" max="29" width="11.28515625" style="1" customWidth="1"/>
    <col min="30" max="16384" width="10.28515625" style="1"/>
  </cols>
  <sheetData>
    <row r="1" spans="1:29" ht="18" x14ac:dyDescent="0.25">
      <c r="A1" s="768" t="str">
        <f>Dean_HE!A1</f>
        <v>Department Profile Report - FY 2015</v>
      </c>
      <c r="B1" s="768"/>
      <c r="C1" s="768"/>
      <c r="D1" s="768"/>
      <c r="E1" s="768"/>
      <c r="F1" s="768"/>
      <c r="G1" s="768"/>
      <c r="H1" s="768"/>
      <c r="I1" s="791"/>
      <c r="J1" s="791"/>
      <c r="K1" s="792"/>
      <c r="L1" s="792"/>
      <c r="M1" s="792"/>
      <c r="N1" s="792"/>
      <c r="O1" s="792"/>
      <c r="P1" s="792"/>
      <c r="Q1" s="792"/>
      <c r="R1" s="792"/>
      <c r="S1" s="792"/>
      <c r="T1" s="792"/>
      <c r="U1" s="792"/>
      <c r="V1" s="792"/>
      <c r="W1" s="792"/>
      <c r="X1" s="792"/>
      <c r="Y1" s="792"/>
      <c r="Z1" s="792"/>
      <c r="AA1" s="792"/>
      <c r="AB1" s="792"/>
      <c r="AC1" s="792"/>
    </row>
    <row r="2" spans="1:29" ht="12" x14ac:dyDescent="0.2">
      <c r="C2" s="1"/>
      <c r="D2" s="1"/>
      <c r="E2" s="1"/>
      <c r="F2" s="1"/>
      <c r="G2" s="95"/>
      <c r="H2" s="95"/>
      <c r="I2" s="95"/>
      <c r="J2" s="95"/>
    </row>
    <row r="3" spans="1:29" x14ac:dyDescent="0.2">
      <c r="A3" s="3" t="s">
        <v>24</v>
      </c>
      <c r="C3" s="1"/>
      <c r="D3" s="1"/>
      <c r="E3" s="1"/>
      <c r="F3" s="1"/>
      <c r="G3" s="95"/>
      <c r="H3" s="95"/>
      <c r="I3" s="95"/>
      <c r="J3" s="95"/>
    </row>
    <row r="4" spans="1:29" ht="12" x14ac:dyDescent="0.2">
      <c r="C4" s="1"/>
      <c r="D4" s="1"/>
      <c r="E4" s="1"/>
      <c r="F4" s="1"/>
      <c r="G4" s="95"/>
      <c r="H4" s="95"/>
      <c r="I4" s="95"/>
      <c r="J4" s="95"/>
    </row>
    <row r="5" spans="1:29" x14ac:dyDescent="0.2">
      <c r="A5" s="3" t="s">
        <v>45</v>
      </c>
      <c r="C5" s="1"/>
      <c r="D5" s="1"/>
      <c r="E5" s="1"/>
      <c r="F5" s="1"/>
      <c r="G5" s="95"/>
      <c r="H5" s="95"/>
      <c r="I5" s="95"/>
      <c r="J5" s="95"/>
    </row>
    <row r="6" spans="1:29" ht="7.5" customHeight="1" thickBot="1" x14ac:dyDescent="0.25">
      <c r="A6" s="3"/>
      <c r="C6" s="1"/>
      <c r="D6" s="1"/>
      <c r="E6" s="1"/>
      <c r="F6" s="1"/>
      <c r="G6" s="95"/>
      <c r="H6" s="95"/>
      <c r="I6" s="95"/>
      <c r="J6" s="95"/>
    </row>
    <row r="7" spans="1:29" ht="13.5" customHeight="1" thickTop="1" x14ac:dyDescent="0.2">
      <c r="B7" s="41"/>
      <c r="C7" s="19" t="s">
        <v>27</v>
      </c>
      <c r="D7" s="20"/>
      <c r="E7" s="9" t="s">
        <v>28</v>
      </c>
      <c r="F7" s="6"/>
      <c r="G7" s="226" t="s">
        <v>83</v>
      </c>
      <c r="H7" s="343"/>
      <c r="I7" s="1250" t="s">
        <v>93</v>
      </c>
      <c r="J7" s="1250"/>
      <c r="K7" s="1267" t="s">
        <v>94</v>
      </c>
      <c r="L7" s="1250"/>
      <c r="M7" s="1267" t="s">
        <v>100</v>
      </c>
      <c r="N7" s="1251"/>
      <c r="O7" s="1250" t="s">
        <v>143</v>
      </c>
      <c r="P7" s="1251"/>
      <c r="Q7" s="1250" t="s">
        <v>149</v>
      </c>
      <c r="R7" s="1251"/>
      <c r="S7" s="1250" t="s">
        <v>167</v>
      </c>
      <c r="T7" s="1251"/>
      <c r="U7" s="1250" t="s">
        <v>181</v>
      </c>
      <c r="V7" s="1251"/>
      <c r="W7" s="1250" t="s">
        <v>194</v>
      </c>
      <c r="X7" s="1251"/>
      <c r="Y7" s="1250" t="s">
        <v>203</v>
      </c>
      <c r="Z7" s="1251"/>
      <c r="AB7" s="1263" t="s">
        <v>133</v>
      </c>
      <c r="AC7" s="1316"/>
    </row>
    <row r="8" spans="1:29" ht="12" x14ac:dyDescent="0.2">
      <c r="B8" s="42"/>
      <c r="C8" s="21" t="s">
        <v>0</v>
      </c>
      <c r="D8" s="22" t="s">
        <v>1</v>
      </c>
      <c r="E8" s="10" t="s">
        <v>0</v>
      </c>
      <c r="F8" s="7" t="s">
        <v>1</v>
      </c>
      <c r="G8" s="227" t="s">
        <v>0</v>
      </c>
      <c r="H8" s="333" t="s">
        <v>1</v>
      </c>
      <c r="I8" s="299" t="s">
        <v>0</v>
      </c>
      <c r="J8" s="349" t="s">
        <v>1</v>
      </c>
      <c r="K8" s="227" t="s">
        <v>0</v>
      </c>
      <c r="L8" s="349" t="s">
        <v>1</v>
      </c>
      <c r="M8" s="227" t="s">
        <v>0</v>
      </c>
      <c r="N8" s="333" t="s">
        <v>1</v>
      </c>
      <c r="O8" s="299" t="s">
        <v>0</v>
      </c>
      <c r="P8" s="333" t="s">
        <v>1</v>
      </c>
      <c r="Q8" s="299" t="s">
        <v>0</v>
      </c>
      <c r="R8" s="333" t="s">
        <v>1</v>
      </c>
      <c r="S8" s="299" t="s">
        <v>0</v>
      </c>
      <c r="T8" s="333" t="s">
        <v>1</v>
      </c>
      <c r="U8" s="299" t="s">
        <v>0</v>
      </c>
      <c r="V8" s="333" t="s">
        <v>1</v>
      </c>
      <c r="W8" s="299" t="s">
        <v>0</v>
      </c>
      <c r="X8" s="333" t="s">
        <v>1</v>
      </c>
      <c r="Y8" s="299" t="s">
        <v>0</v>
      </c>
      <c r="Z8" s="333" t="s">
        <v>1</v>
      </c>
      <c r="AB8" s="642" t="s">
        <v>0</v>
      </c>
      <c r="AC8" s="643" t="s">
        <v>1</v>
      </c>
    </row>
    <row r="9" spans="1:29" thickBot="1" x14ac:dyDescent="0.25">
      <c r="B9" s="43"/>
      <c r="C9" s="23" t="s">
        <v>2</v>
      </c>
      <c r="D9" s="24" t="s">
        <v>3</v>
      </c>
      <c r="E9" s="16" t="s">
        <v>2</v>
      </c>
      <c r="F9" s="17" t="s">
        <v>3</v>
      </c>
      <c r="G9" s="228" t="s">
        <v>2</v>
      </c>
      <c r="H9" s="334" t="s">
        <v>3</v>
      </c>
      <c r="I9" s="300" t="s">
        <v>2</v>
      </c>
      <c r="J9" s="350" t="s">
        <v>3</v>
      </c>
      <c r="K9" s="228" t="s">
        <v>2</v>
      </c>
      <c r="L9" s="350" t="s">
        <v>3</v>
      </c>
      <c r="M9" s="228" t="s">
        <v>2</v>
      </c>
      <c r="N9" s="334" t="s">
        <v>3</v>
      </c>
      <c r="O9" s="300" t="s">
        <v>2</v>
      </c>
      <c r="P9" s="334" t="s">
        <v>3</v>
      </c>
      <c r="Q9" s="300" t="s">
        <v>2</v>
      </c>
      <c r="R9" s="334" t="s">
        <v>3</v>
      </c>
      <c r="S9" s="300" t="s">
        <v>2</v>
      </c>
      <c r="T9" s="334" t="s">
        <v>3</v>
      </c>
      <c r="U9" s="300" t="s">
        <v>2</v>
      </c>
      <c r="V9" s="334" t="s">
        <v>3</v>
      </c>
      <c r="W9" s="300" t="s">
        <v>2</v>
      </c>
      <c r="X9" s="334" t="s">
        <v>3</v>
      </c>
      <c r="Y9" s="300" t="s">
        <v>2</v>
      </c>
      <c r="Z9" s="334" t="s">
        <v>3</v>
      </c>
      <c r="AB9" s="644" t="s">
        <v>2</v>
      </c>
      <c r="AC9" s="645" t="s">
        <v>3</v>
      </c>
    </row>
    <row r="10" spans="1:29" ht="12" x14ac:dyDescent="0.2">
      <c r="B10" s="44" t="s">
        <v>4</v>
      </c>
      <c r="C10" s="25"/>
      <c r="D10" s="26"/>
      <c r="E10" s="11"/>
      <c r="F10" s="12"/>
      <c r="G10" s="194"/>
      <c r="H10" s="193"/>
      <c r="I10" s="195"/>
      <c r="J10" s="261"/>
      <c r="K10" s="194"/>
      <c r="L10" s="261"/>
      <c r="M10" s="194"/>
      <c r="N10" s="193"/>
      <c r="O10" s="195"/>
      <c r="P10" s="193"/>
      <c r="Q10" s="195"/>
      <c r="R10" s="193"/>
      <c r="S10" s="195"/>
      <c r="T10" s="193"/>
      <c r="U10" s="195"/>
      <c r="V10" s="193"/>
      <c r="W10" s="195"/>
      <c r="X10" s="193"/>
      <c r="Y10" s="195"/>
      <c r="Z10" s="193"/>
      <c r="AB10" s="649"/>
      <c r="AC10" s="272"/>
    </row>
    <row r="11" spans="1:29" ht="12" x14ac:dyDescent="0.2">
      <c r="B11" s="287" t="s">
        <v>145</v>
      </c>
      <c r="C11" s="68"/>
      <c r="D11" s="97"/>
      <c r="E11" s="98"/>
      <c r="F11" s="8"/>
      <c r="G11" s="68"/>
      <c r="H11" s="97"/>
      <c r="I11" s="98"/>
      <c r="J11" s="99"/>
      <c r="K11" s="68"/>
      <c r="L11" s="99"/>
      <c r="M11" s="68"/>
      <c r="N11" s="97"/>
      <c r="O11" s="98"/>
      <c r="P11" s="97"/>
      <c r="Q11" s="98"/>
      <c r="R11" s="97"/>
      <c r="S11" s="98"/>
      <c r="T11" s="97"/>
      <c r="U11" s="98"/>
      <c r="V11" s="97"/>
      <c r="W11" s="98"/>
      <c r="X11" s="97"/>
      <c r="Y11" s="98"/>
      <c r="Z11" s="97"/>
      <c r="AB11" s="649"/>
      <c r="AC11" s="272"/>
    </row>
    <row r="12" spans="1:29" ht="12" x14ac:dyDescent="0.2">
      <c r="B12" s="96" t="s">
        <v>134</v>
      </c>
      <c r="C12" s="278">
        <v>373</v>
      </c>
      <c r="D12" s="102">
        <v>135</v>
      </c>
      <c r="E12" s="384">
        <v>394</v>
      </c>
      <c r="F12" s="101">
        <v>139</v>
      </c>
      <c r="G12" s="278">
        <v>389</v>
      </c>
      <c r="H12" s="102">
        <v>132</v>
      </c>
      <c r="I12" s="384">
        <v>357</v>
      </c>
      <c r="J12" s="101">
        <v>130</v>
      </c>
      <c r="K12" s="278">
        <v>336</v>
      </c>
      <c r="L12" s="101">
        <f>144+1</f>
        <v>145</v>
      </c>
      <c r="M12" s="278">
        <f>321+17</f>
        <v>338</v>
      </c>
      <c r="N12" s="305">
        <v>101</v>
      </c>
      <c r="O12" s="384">
        <f>351+17</f>
        <v>368</v>
      </c>
      <c r="P12" s="305">
        <v>112</v>
      </c>
      <c r="Q12" s="384">
        <v>453</v>
      </c>
      <c r="R12" s="305">
        <v>134</v>
      </c>
      <c r="S12" s="384">
        <v>481</v>
      </c>
      <c r="T12" s="305">
        <v>160</v>
      </c>
      <c r="U12" s="384">
        <v>540</v>
      </c>
      <c r="V12" s="305">
        <v>166</v>
      </c>
      <c r="W12" s="384">
        <v>585</v>
      </c>
      <c r="X12" s="305">
        <v>178</v>
      </c>
      <c r="Y12" s="384">
        <v>570</v>
      </c>
      <c r="Z12" s="1002"/>
      <c r="AA12" s="2"/>
      <c r="AB12" s="720">
        <f>AVERAGE(W12,U12,S12,Q12,Y12)</f>
        <v>525.79999999999995</v>
      </c>
      <c r="AC12" s="721">
        <f t="shared" ref="AC12:AC16" si="0">AVERAGE(X12,V12,T12,R12,Z12)</f>
        <v>159.5</v>
      </c>
    </row>
    <row r="13" spans="1:29" s="95" customFormat="1" ht="12" x14ac:dyDescent="0.2">
      <c r="B13" s="96" t="s">
        <v>147</v>
      </c>
      <c r="C13" s="278"/>
      <c r="D13" s="102"/>
      <c r="E13" s="709"/>
      <c r="F13" s="710"/>
      <c r="G13" s="708"/>
      <c r="H13" s="214"/>
      <c r="I13" s="709"/>
      <c r="J13" s="710"/>
      <c r="K13" s="708"/>
      <c r="L13" s="710"/>
      <c r="M13" s="708"/>
      <c r="N13" s="341"/>
      <c r="O13" s="709"/>
      <c r="P13" s="341"/>
      <c r="Q13" s="384">
        <v>11</v>
      </c>
      <c r="R13" s="305">
        <v>0</v>
      </c>
      <c r="S13" s="384">
        <v>31</v>
      </c>
      <c r="T13" s="305">
        <v>19</v>
      </c>
      <c r="U13" s="384">
        <f>1+49</f>
        <v>50</v>
      </c>
      <c r="V13" s="305">
        <v>26</v>
      </c>
      <c r="W13" s="384">
        <v>71</v>
      </c>
      <c r="X13" s="305">
        <v>32</v>
      </c>
      <c r="Y13" s="384">
        <v>86</v>
      </c>
      <c r="Z13" s="1002"/>
      <c r="AA13" s="722"/>
      <c r="AB13" s="720">
        <f t="shared" ref="AB13:AB16" si="1">AVERAGE(W13,U13,S13,Q13,Y13)</f>
        <v>49.8</v>
      </c>
      <c r="AC13" s="721">
        <f t="shared" si="0"/>
        <v>19.25</v>
      </c>
    </row>
    <row r="14" spans="1:29" ht="12" x14ac:dyDescent="0.2">
      <c r="B14" s="96" t="s">
        <v>6</v>
      </c>
      <c r="C14" s="278">
        <v>116</v>
      </c>
      <c r="D14" s="102">
        <v>30</v>
      </c>
      <c r="E14" s="384">
        <v>175</v>
      </c>
      <c r="F14" s="101">
        <v>48</v>
      </c>
      <c r="G14" s="278">
        <v>202</v>
      </c>
      <c r="H14" s="102">
        <v>45</v>
      </c>
      <c r="I14" s="384">
        <v>192</v>
      </c>
      <c r="J14" s="101">
        <v>39</v>
      </c>
      <c r="K14" s="278">
        <v>208</v>
      </c>
      <c r="L14" s="101">
        <v>53</v>
      </c>
      <c r="M14" s="278">
        <v>248</v>
      </c>
      <c r="N14" s="305">
        <v>65</v>
      </c>
      <c r="O14" s="384">
        <v>175</v>
      </c>
      <c r="P14" s="305">
        <v>47</v>
      </c>
      <c r="Q14" s="384">
        <v>180</v>
      </c>
      <c r="R14" s="305">
        <v>56</v>
      </c>
      <c r="S14" s="384">
        <v>184</v>
      </c>
      <c r="T14" s="305">
        <v>51</v>
      </c>
      <c r="U14" s="384">
        <v>166</v>
      </c>
      <c r="V14" s="305">
        <v>51</v>
      </c>
      <c r="W14" s="384">
        <v>169</v>
      </c>
      <c r="X14" s="305">
        <v>48</v>
      </c>
      <c r="Y14" s="384">
        <v>172</v>
      </c>
      <c r="Z14" s="1002"/>
      <c r="AA14" s="849"/>
      <c r="AB14" s="720">
        <f t="shared" si="1"/>
        <v>174.2</v>
      </c>
      <c r="AC14" s="721">
        <f t="shared" si="0"/>
        <v>51.5</v>
      </c>
    </row>
    <row r="15" spans="1:29" ht="12" x14ac:dyDescent="0.2">
      <c r="B15" s="96" t="s">
        <v>179</v>
      </c>
      <c r="C15" s="278">
        <v>0</v>
      </c>
      <c r="D15" s="102">
        <v>0</v>
      </c>
      <c r="E15" s="384">
        <v>0</v>
      </c>
      <c r="F15" s="52">
        <v>1</v>
      </c>
      <c r="G15" s="278">
        <v>0</v>
      </c>
      <c r="H15" s="102">
        <v>0</v>
      </c>
      <c r="I15" s="384">
        <v>3</v>
      </c>
      <c r="J15" s="101">
        <v>0</v>
      </c>
      <c r="K15" s="278">
        <v>8</v>
      </c>
      <c r="L15" s="101">
        <v>0</v>
      </c>
      <c r="M15" s="278">
        <v>0</v>
      </c>
      <c r="N15" s="305">
        <v>0</v>
      </c>
      <c r="O15" s="384">
        <v>0</v>
      </c>
      <c r="P15" s="305">
        <v>0</v>
      </c>
      <c r="Q15" s="384">
        <v>1</v>
      </c>
      <c r="R15" s="305">
        <v>1</v>
      </c>
      <c r="S15" s="384">
        <v>0</v>
      </c>
      <c r="T15" s="305">
        <v>0</v>
      </c>
      <c r="U15" s="384">
        <v>3</v>
      </c>
      <c r="V15" s="305">
        <v>0</v>
      </c>
      <c r="W15" s="384">
        <v>4</v>
      </c>
      <c r="X15" s="305">
        <v>1</v>
      </c>
      <c r="Y15" s="384">
        <v>3</v>
      </c>
      <c r="Z15" s="1002"/>
      <c r="AA15" s="849"/>
      <c r="AB15" s="720">
        <f t="shared" si="1"/>
        <v>2.2000000000000002</v>
      </c>
      <c r="AC15" s="721">
        <f t="shared" si="0"/>
        <v>0.5</v>
      </c>
    </row>
    <row r="16" spans="1:29" ht="12" x14ac:dyDescent="0.2">
      <c r="B16" s="96" t="s">
        <v>180</v>
      </c>
      <c r="C16" s="278">
        <v>0</v>
      </c>
      <c r="D16" s="102">
        <v>0</v>
      </c>
      <c r="E16" s="384">
        <v>0</v>
      </c>
      <c r="F16" s="52">
        <v>0</v>
      </c>
      <c r="G16" s="278">
        <v>0</v>
      </c>
      <c r="H16" s="102">
        <v>1</v>
      </c>
      <c r="I16" s="384">
        <v>2</v>
      </c>
      <c r="J16" s="101">
        <v>0</v>
      </c>
      <c r="K16" s="278">
        <v>1</v>
      </c>
      <c r="L16" s="101">
        <v>0</v>
      </c>
      <c r="M16" s="278">
        <v>1</v>
      </c>
      <c r="N16" s="305">
        <v>0</v>
      </c>
      <c r="O16" s="384">
        <v>3</v>
      </c>
      <c r="P16" s="305">
        <v>0</v>
      </c>
      <c r="Q16" s="384">
        <v>3</v>
      </c>
      <c r="R16" s="305">
        <v>15</v>
      </c>
      <c r="S16" s="384">
        <v>3</v>
      </c>
      <c r="T16" s="305">
        <v>0</v>
      </c>
      <c r="U16" s="384">
        <v>3</v>
      </c>
      <c r="V16" s="305">
        <v>0</v>
      </c>
      <c r="W16" s="384">
        <v>2</v>
      </c>
      <c r="X16" s="305">
        <v>0</v>
      </c>
      <c r="Y16" s="384">
        <v>1</v>
      </c>
      <c r="Z16" s="1002"/>
      <c r="AA16" s="849"/>
      <c r="AB16" s="720">
        <f t="shared" si="1"/>
        <v>2.4</v>
      </c>
      <c r="AC16" s="721">
        <f t="shared" si="0"/>
        <v>3.75</v>
      </c>
    </row>
    <row r="17" spans="2:30" ht="12" x14ac:dyDescent="0.2">
      <c r="B17" s="287" t="s">
        <v>161</v>
      </c>
      <c r="C17" s="278"/>
      <c r="D17" s="102"/>
      <c r="E17" s="384"/>
      <c r="F17" s="52"/>
      <c r="G17" s="278"/>
      <c r="H17" s="102"/>
      <c r="I17" s="384"/>
      <c r="J17" s="101"/>
      <c r="K17" s="278"/>
      <c r="L17" s="101"/>
      <c r="M17" s="278"/>
      <c r="N17" s="305"/>
      <c r="O17" s="384"/>
      <c r="P17" s="305"/>
      <c r="Q17" s="384"/>
      <c r="R17" s="305"/>
      <c r="S17" s="384"/>
      <c r="T17" s="305"/>
      <c r="U17" s="384"/>
      <c r="V17" s="305"/>
      <c r="W17" s="384"/>
      <c r="X17" s="305"/>
      <c r="Y17" s="384"/>
      <c r="Z17" s="1002"/>
      <c r="AA17" s="849"/>
      <c r="AB17" s="720"/>
      <c r="AC17" s="721"/>
    </row>
    <row r="18" spans="2:30" s="95" customFormat="1" ht="12" x14ac:dyDescent="0.2">
      <c r="B18" s="96" t="s">
        <v>160</v>
      </c>
      <c r="C18" s="278">
        <v>1</v>
      </c>
      <c r="D18" s="102">
        <v>11</v>
      </c>
      <c r="E18" s="384">
        <v>0</v>
      </c>
      <c r="F18" s="101">
        <v>12</v>
      </c>
      <c r="G18" s="278">
        <v>0</v>
      </c>
      <c r="H18" s="102">
        <v>17</v>
      </c>
      <c r="I18" s="384">
        <v>0</v>
      </c>
      <c r="J18" s="101">
        <v>11</v>
      </c>
      <c r="K18" s="278">
        <v>0</v>
      </c>
      <c r="L18" s="101">
        <v>22</v>
      </c>
      <c r="M18" s="278">
        <v>8</v>
      </c>
      <c r="N18" s="305">
        <v>33</v>
      </c>
      <c r="O18" s="384">
        <v>16</v>
      </c>
      <c r="P18" s="305">
        <v>27</v>
      </c>
      <c r="Q18" s="384">
        <v>16</v>
      </c>
      <c r="R18" s="305">
        <v>9</v>
      </c>
      <c r="S18" s="384">
        <v>16</v>
      </c>
      <c r="T18" s="305">
        <v>12</v>
      </c>
      <c r="U18" s="384">
        <v>18</v>
      </c>
      <c r="V18" s="305">
        <v>23</v>
      </c>
      <c r="W18" s="384">
        <v>18</v>
      </c>
      <c r="X18" s="305">
        <v>19</v>
      </c>
      <c r="Y18" s="384">
        <v>11</v>
      </c>
      <c r="Z18" s="1002"/>
      <c r="AA18" s="850"/>
      <c r="AB18" s="720">
        <f t="shared" ref="AB18:AC18" si="2">AVERAGE(W18,U18,S18,Q18,Y18)</f>
        <v>15.8</v>
      </c>
      <c r="AC18" s="721">
        <f t="shared" si="2"/>
        <v>15.75</v>
      </c>
    </row>
    <row r="19" spans="2:30" s="95" customFormat="1" ht="12" x14ac:dyDescent="0.2">
      <c r="B19" s="96" t="s">
        <v>211</v>
      </c>
      <c r="C19" s="1001"/>
      <c r="D19" s="1025"/>
      <c r="E19" s="999"/>
      <c r="F19" s="101"/>
      <c r="G19" s="708"/>
      <c r="H19" s="214"/>
      <c r="I19" s="709"/>
      <c r="J19" s="710" t="s">
        <v>162</v>
      </c>
      <c r="K19" s="708" t="s">
        <v>163</v>
      </c>
      <c r="L19" s="710" t="s">
        <v>204</v>
      </c>
      <c r="M19" s="708"/>
      <c r="N19" s="341"/>
      <c r="O19" s="709"/>
      <c r="P19" s="341"/>
      <c r="Q19" s="709"/>
      <c r="R19" s="341"/>
      <c r="S19" s="999"/>
      <c r="T19" s="1002"/>
      <c r="U19" s="999"/>
      <c r="V19" s="1002"/>
      <c r="W19" s="999"/>
      <c r="X19" s="1002"/>
      <c r="Y19" s="384">
        <v>6</v>
      </c>
      <c r="Z19" s="1002"/>
      <c r="AA19" s="850"/>
      <c r="AB19" s="1246"/>
      <c r="AC19" s="1240"/>
    </row>
    <row r="20" spans="2:30" ht="12" x14ac:dyDescent="0.2">
      <c r="B20" s="285" t="s">
        <v>146</v>
      </c>
      <c r="C20" s="278"/>
      <c r="D20" s="102"/>
      <c r="E20" s="384"/>
      <c r="F20" s="53"/>
      <c r="G20" s="278"/>
      <c r="H20" s="102"/>
      <c r="I20" s="384"/>
      <c r="J20" s="262"/>
      <c r="K20" s="278"/>
      <c r="L20" s="262"/>
      <c r="M20" s="278"/>
      <c r="N20" s="102"/>
      <c r="O20" s="384"/>
      <c r="P20" s="102"/>
      <c r="Q20" s="384"/>
      <c r="R20" s="102"/>
      <c r="S20" s="384"/>
      <c r="T20" s="102"/>
      <c r="U20" s="384"/>
      <c r="V20" s="102"/>
      <c r="W20" s="384" t="s">
        <v>19</v>
      </c>
      <c r="X20" s="102"/>
      <c r="Y20" s="384"/>
      <c r="Z20" s="1025"/>
      <c r="AA20" s="849"/>
      <c r="AB20" s="720"/>
      <c r="AC20" s="721"/>
    </row>
    <row r="21" spans="2:30" s="95" customFormat="1" ht="12" x14ac:dyDescent="0.2">
      <c r="B21" s="96" t="s">
        <v>134</v>
      </c>
      <c r="C21" s="278">
        <v>94</v>
      </c>
      <c r="D21" s="102">
        <v>21</v>
      </c>
      <c r="E21" s="384">
        <f>92+3</f>
        <v>95</v>
      </c>
      <c r="F21" s="101">
        <v>13</v>
      </c>
      <c r="G21" s="278">
        <v>98</v>
      </c>
      <c r="H21" s="102">
        <v>19</v>
      </c>
      <c r="I21" s="384">
        <v>116</v>
      </c>
      <c r="J21" s="101">
        <v>22</v>
      </c>
      <c r="K21" s="278">
        <v>109</v>
      </c>
      <c r="L21" s="101">
        <v>16</v>
      </c>
      <c r="M21" s="278">
        <f>97+27</f>
        <v>124</v>
      </c>
      <c r="N21" s="305">
        <v>7</v>
      </c>
      <c r="O21" s="384">
        <f>88+2</f>
        <v>90</v>
      </c>
      <c r="P21" s="305">
        <v>14</v>
      </c>
      <c r="Q21" s="384">
        <v>89</v>
      </c>
      <c r="R21" s="305">
        <v>20</v>
      </c>
      <c r="S21" s="384">
        <v>80</v>
      </c>
      <c r="T21" s="305">
        <v>13</v>
      </c>
      <c r="U21" s="384">
        <v>80</v>
      </c>
      <c r="V21" s="305">
        <v>16</v>
      </c>
      <c r="W21" s="384">
        <v>77</v>
      </c>
      <c r="X21" s="305">
        <v>17</v>
      </c>
      <c r="Y21" s="384">
        <v>68</v>
      </c>
      <c r="Z21" s="1002"/>
      <c r="AA21" s="850"/>
      <c r="AB21" s="720">
        <f t="shared" ref="AB21:AC21" si="3">AVERAGE(W21,U21,S21,Q21,Y21)</f>
        <v>78.8</v>
      </c>
      <c r="AC21" s="721">
        <f t="shared" si="3"/>
        <v>16.5</v>
      </c>
    </row>
    <row r="22" spans="2:30" s="95" customFormat="1" ht="12" x14ac:dyDescent="0.2">
      <c r="B22" s="285" t="s">
        <v>172</v>
      </c>
      <c r="C22" s="278"/>
      <c r="D22" s="102"/>
      <c r="E22" s="384"/>
      <c r="F22" s="101"/>
      <c r="G22" s="278"/>
      <c r="H22" s="102"/>
      <c r="I22" s="384"/>
      <c r="J22" s="101"/>
      <c r="K22" s="278"/>
      <c r="L22" s="101"/>
      <c r="M22" s="278"/>
      <c r="N22" s="305"/>
      <c r="O22" s="384"/>
      <c r="P22" s="305"/>
      <c r="Q22" s="384"/>
      <c r="R22" s="305"/>
      <c r="S22" s="384"/>
      <c r="T22" s="305"/>
      <c r="U22" s="384"/>
      <c r="V22" s="305"/>
      <c r="W22" s="384"/>
      <c r="X22" s="305"/>
      <c r="Y22" s="384"/>
      <c r="Z22" s="1002"/>
      <c r="AA22" s="850"/>
      <c r="AB22" s="720"/>
      <c r="AC22" s="721"/>
    </row>
    <row r="23" spans="2:30" s="95" customFormat="1" ht="12" x14ac:dyDescent="0.2">
      <c r="B23" s="96" t="s">
        <v>6</v>
      </c>
      <c r="C23" s="278"/>
      <c r="D23" s="102"/>
      <c r="E23" s="384"/>
      <c r="F23" s="101"/>
      <c r="G23" s="278"/>
      <c r="H23" s="102"/>
      <c r="I23" s="999"/>
      <c r="J23" s="1000"/>
      <c r="K23" s="1001" t="s">
        <v>173</v>
      </c>
      <c r="L23" s="1000" t="s">
        <v>163</v>
      </c>
      <c r="M23" s="1001" t="s">
        <v>174</v>
      </c>
      <c r="N23" s="1003">
        <v>2013</v>
      </c>
      <c r="O23" s="999"/>
      <c r="P23" s="1002"/>
      <c r="Q23" s="999"/>
      <c r="R23" s="1002"/>
      <c r="S23" s="999"/>
      <c r="T23" s="1002"/>
      <c r="U23" s="999"/>
      <c r="V23" s="1002"/>
      <c r="W23" s="384">
        <v>5</v>
      </c>
      <c r="X23" s="305">
        <v>0</v>
      </c>
      <c r="Y23" s="384">
        <v>10</v>
      </c>
      <c r="Z23" s="1002"/>
      <c r="AA23" s="850"/>
      <c r="AB23" s="720">
        <f>AVERAGE(W23,U23,S23,Q23,Y23)</f>
        <v>7.5</v>
      </c>
      <c r="AC23" s="721"/>
    </row>
    <row r="24" spans="2:30" ht="12" x14ac:dyDescent="0.2">
      <c r="B24" s="285" t="s">
        <v>36</v>
      </c>
      <c r="C24" s="278"/>
      <c r="D24" s="102"/>
      <c r="E24" s="384"/>
      <c r="F24" s="53"/>
      <c r="G24" s="278"/>
      <c r="H24" s="102"/>
      <c r="I24" s="384"/>
      <c r="J24" s="262"/>
      <c r="K24" s="278"/>
      <c r="L24" s="262"/>
      <c r="M24" s="278"/>
      <c r="N24" s="102"/>
      <c r="O24" s="384"/>
      <c r="P24" s="102"/>
      <c r="Q24" s="384"/>
      <c r="R24" s="102"/>
      <c r="S24" s="384"/>
      <c r="T24" s="102"/>
      <c r="U24" s="384"/>
      <c r="V24" s="102"/>
      <c r="W24" s="384"/>
      <c r="X24" s="102"/>
      <c r="Y24" s="384"/>
      <c r="Z24" s="1025"/>
      <c r="AA24" s="849"/>
      <c r="AB24" s="720"/>
      <c r="AC24" s="721"/>
      <c r="AD24" s="1" t="s">
        <v>19</v>
      </c>
    </row>
    <row r="25" spans="2:30" ht="12" x14ac:dyDescent="0.2">
      <c r="B25" s="96" t="s">
        <v>134</v>
      </c>
      <c r="C25" s="278">
        <v>84</v>
      </c>
      <c r="D25" s="102">
        <v>19</v>
      </c>
      <c r="E25" s="384">
        <f>92+1</f>
        <v>93</v>
      </c>
      <c r="F25" s="52">
        <v>31</v>
      </c>
      <c r="G25" s="278">
        <v>92</v>
      </c>
      <c r="H25" s="102">
        <v>14</v>
      </c>
      <c r="I25" s="384">
        <v>108</v>
      </c>
      <c r="J25" s="101">
        <v>31</v>
      </c>
      <c r="K25" s="278">
        <v>101</v>
      </c>
      <c r="L25" s="101">
        <v>28</v>
      </c>
      <c r="M25" s="278">
        <f>100+2</f>
        <v>102</v>
      </c>
      <c r="N25" s="305">
        <v>20</v>
      </c>
      <c r="O25" s="384">
        <f>115+2</f>
        <v>117</v>
      </c>
      <c r="P25" s="305">
        <v>26</v>
      </c>
      <c r="Q25" s="384">
        <v>121</v>
      </c>
      <c r="R25" s="305">
        <v>33</v>
      </c>
      <c r="S25" s="384">
        <v>136</v>
      </c>
      <c r="T25" s="305">
        <v>38</v>
      </c>
      <c r="U25" s="384">
        <v>145</v>
      </c>
      <c r="V25" s="305">
        <v>25</v>
      </c>
      <c r="W25" s="384">
        <v>162</v>
      </c>
      <c r="X25" s="305">
        <v>31</v>
      </c>
      <c r="Y25" s="384">
        <v>155</v>
      </c>
      <c r="Z25" s="1002"/>
      <c r="AA25" s="849"/>
      <c r="AB25" s="720">
        <f t="shared" ref="AB25:AB26" si="4">AVERAGE(W25,U25,S25,Q25,Y25)</f>
        <v>143.80000000000001</v>
      </c>
      <c r="AC25" s="721">
        <f t="shared" ref="AC25:AC26" si="5">AVERAGE(X25,V25,T25,R25,Z25)</f>
        <v>31.75</v>
      </c>
    </row>
    <row r="26" spans="2:30" ht="12" x14ac:dyDescent="0.2">
      <c r="B26" s="96" t="s">
        <v>47</v>
      </c>
      <c r="C26" s="278">
        <v>0</v>
      </c>
      <c r="D26" s="102">
        <v>0</v>
      </c>
      <c r="E26" s="384">
        <v>0</v>
      </c>
      <c r="F26" s="52">
        <v>0</v>
      </c>
      <c r="G26" s="278">
        <v>5</v>
      </c>
      <c r="H26" s="102">
        <v>0</v>
      </c>
      <c r="I26" s="384">
        <v>0</v>
      </c>
      <c r="J26" s="101">
        <v>0</v>
      </c>
      <c r="K26" s="278">
        <v>0</v>
      </c>
      <c r="L26" s="101">
        <v>0</v>
      </c>
      <c r="M26" s="278">
        <v>0</v>
      </c>
      <c r="N26" s="305">
        <v>0</v>
      </c>
      <c r="O26" s="384">
        <v>0</v>
      </c>
      <c r="P26" s="305">
        <v>0</v>
      </c>
      <c r="Q26" s="384">
        <v>0</v>
      </c>
      <c r="R26" s="305">
        <v>0</v>
      </c>
      <c r="S26" s="384">
        <v>0</v>
      </c>
      <c r="T26" s="305">
        <v>0</v>
      </c>
      <c r="U26" s="384">
        <v>0</v>
      </c>
      <c r="V26" s="305">
        <v>0</v>
      </c>
      <c r="W26" s="384">
        <v>0</v>
      </c>
      <c r="X26" s="305">
        <v>0</v>
      </c>
      <c r="Y26" s="384">
        <v>0</v>
      </c>
      <c r="Z26" s="1002"/>
      <c r="AA26" s="849"/>
      <c r="AB26" s="720">
        <f t="shared" si="4"/>
        <v>0</v>
      </c>
      <c r="AC26" s="721">
        <f t="shared" si="5"/>
        <v>0</v>
      </c>
    </row>
    <row r="27" spans="2:30" ht="12" x14ac:dyDescent="0.2">
      <c r="B27" s="287" t="s">
        <v>213</v>
      </c>
      <c r="C27" s="278"/>
      <c r="D27" s="102"/>
      <c r="E27" s="384"/>
      <c r="F27" s="52"/>
      <c r="G27" s="278"/>
      <c r="H27" s="102"/>
      <c r="I27" s="384"/>
      <c r="J27" s="101"/>
      <c r="K27" s="278"/>
      <c r="L27" s="101"/>
      <c r="M27" s="278"/>
      <c r="N27" s="305"/>
      <c r="O27" s="384"/>
      <c r="P27" s="305"/>
      <c r="Q27" s="384"/>
      <c r="R27" s="305"/>
      <c r="S27" s="384"/>
      <c r="T27" s="305"/>
      <c r="U27" s="384"/>
      <c r="V27" s="305"/>
      <c r="W27" s="384"/>
      <c r="X27" s="305"/>
      <c r="Y27" s="384"/>
      <c r="Z27" s="1002"/>
      <c r="AA27" s="849"/>
      <c r="AB27" s="720"/>
      <c r="AC27" s="721"/>
    </row>
    <row r="28" spans="2:30" ht="12" x14ac:dyDescent="0.2">
      <c r="B28" s="96" t="s">
        <v>134</v>
      </c>
      <c r="C28" s="278"/>
      <c r="D28" s="102"/>
      <c r="E28" s="384"/>
      <c r="F28" s="52"/>
      <c r="G28" s="278"/>
      <c r="H28" s="102"/>
      <c r="I28" s="384"/>
      <c r="J28" s="101"/>
      <c r="K28" s="278"/>
      <c r="L28" s="101"/>
      <c r="M28" s="1237"/>
      <c r="N28" s="1238"/>
      <c r="O28" s="1239"/>
      <c r="P28" s="1238"/>
      <c r="Q28" s="1239"/>
      <c r="R28" s="1238"/>
      <c r="S28" s="1239"/>
      <c r="T28" s="1238"/>
      <c r="U28" s="1239"/>
      <c r="V28" s="1238"/>
      <c r="W28" s="384">
        <v>0</v>
      </c>
      <c r="X28" s="305">
        <v>6</v>
      </c>
      <c r="Y28" s="384">
        <v>34</v>
      </c>
      <c r="Z28" s="1002"/>
      <c r="AA28" s="849"/>
      <c r="AB28" s="720"/>
      <c r="AC28" s="721"/>
    </row>
    <row r="29" spans="2:30" ht="12" x14ac:dyDescent="0.2">
      <c r="B29" s="287" t="s">
        <v>176</v>
      </c>
      <c r="C29" s="278"/>
      <c r="D29" s="102"/>
      <c r="E29" s="384"/>
      <c r="F29" s="52"/>
      <c r="G29" s="278"/>
      <c r="H29" s="102"/>
      <c r="I29" s="384"/>
      <c r="J29" s="101"/>
      <c r="K29" s="278"/>
      <c r="L29" s="101"/>
      <c r="M29" s="278"/>
      <c r="N29" s="305"/>
      <c r="O29" s="384"/>
      <c r="P29" s="305"/>
      <c r="Q29" s="384"/>
      <c r="R29" s="305"/>
      <c r="S29" s="384"/>
      <c r="T29" s="305"/>
      <c r="U29" s="384"/>
      <c r="V29" s="305"/>
      <c r="W29" s="384"/>
      <c r="X29" s="305"/>
      <c r="Y29" s="384"/>
      <c r="Z29" s="1002"/>
      <c r="AA29" s="849"/>
      <c r="AB29" s="720"/>
      <c r="AC29" s="721"/>
    </row>
    <row r="30" spans="2:30" s="936" customFormat="1" ht="12" x14ac:dyDescent="0.2">
      <c r="B30" s="96" t="s">
        <v>177</v>
      </c>
      <c r="C30" s="249">
        <v>0</v>
      </c>
      <c r="D30" s="937">
        <v>0</v>
      </c>
      <c r="E30" s="180">
        <v>0</v>
      </c>
      <c r="F30" s="938">
        <v>0</v>
      </c>
      <c r="G30" s="278">
        <v>0</v>
      </c>
      <c r="H30" s="102">
        <v>0</v>
      </c>
      <c r="I30" s="384">
        <v>0</v>
      </c>
      <c r="J30" s="101">
        <v>0</v>
      </c>
      <c r="K30" s="278">
        <v>0</v>
      </c>
      <c r="L30" s="101">
        <v>2</v>
      </c>
      <c r="M30" s="278">
        <v>1</v>
      </c>
      <c r="N30" s="305">
        <v>9</v>
      </c>
      <c r="O30" s="384">
        <v>21</v>
      </c>
      <c r="P30" s="305">
        <v>27</v>
      </c>
      <c r="Q30" s="384">
        <v>16</v>
      </c>
      <c r="R30" s="305">
        <v>16</v>
      </c>
      <c r="S30" s="384">
        <v>24</v>
      </c>
      <c r="T30" s="305">
        <v>18</v>
      </c>
      <c r="U30" s="384">
        <v>24</v>
      </c>
      <c r="V30" s="305">
        <v>26</v>
      </c>
      <c r="W30" s="384">
        <v>17</v>
      </c>
      <c r="X30" s="305">
        <v>19</v>
      </c>
      <c r="Y30" s="384">
        <v>22</v>
      </c>
      <c r="Z30" s="1002"/>
      <c r="AA30" s="939"/>
      <c r="AB30" s="720">
        <f t="shared" ref="AB30:AB31" si="6">AVERAGE(W30,U30,S30,Q30,Y30)</f>
        <v>20.6</v>
      </c>
      <c r="AC30" s="721">
        <f t="shared" ref="AC30:AC31" si="7">AVERAGE(X30,V30,T30,R30,Z30)</f>
        <v>19.75</v>
      </c>
    </row>
    <row r="31" spans="2:30" s="940" customFormat="1" ht="12" x14ac:dyDescent="0.2">
      <c r="B31" s="96" t="s">
        <v>178</v>
      </c>
      <c r="C31" s="249"/>
      <c r="D31" s="937"/>
      <c r="E31" s="941"/>
      <c r="F31" s="942"/>
      <c r="G31" s="708"/>
      <c r="H31" s="214"/>
      <c r="I31" s="709"/>
      <c r="J31" s="710"/>
      <c r="K31" s="708"/>
      <c r="L31" s="710"/>
      <c r="M31" s="278">
        <v>6</v>
      </c>
      <c r="N31" s="305">
        <v>4</v>
      </c>
      <c r="O31" s="384">
        <v>10</v>
      </c>
      <c r="P31" s="305">
        <v>9</v>
      </c>
      <c r="Q31" s="384">
        <v>14</v>
      </c>
      <c r="R31" s="305">
        <v>5</v>
      </c>
      <c r="S31" s="384">
        <v>22</v>
      </c>
      <c r="T31" s="305">
        <v>16</v>
      </c>
      <c r="U31" s="384">
        <v>14</v>
      </c>
      <c r="V31" s="305">
        <v>5</v>
      </c>
      <c r="W31" s="384">
        <v>14</v>
      </c>
      <c r="X31" s="305">
        <v>8</v>
      </c>
      <c r="Y31" s="384">
        <v>11</v>
      </c>
      <c r="Z31" s="1002"/>
      <c r="AA31" s="943"/>
      <c r="AB31" s="720">
        <f t="shared" si="6"/>
        <v>15</v>
      </c>
      <c r="AC31" s="721">
        <f t="shared" si="7"/>
        <v>8.5</v>
      </c>
    </row>
    <row r="32" spans="2:30" ht="12" x14ac:dyDescent="0.2">
      <c r="B32" s="287" t="s">
        <v>148</v>
      </c>
      <c r="C32" s="278"/>
      <c r="D32" s="102"/>
      <c r="E32" s="384"/>
      <c r="F32" s="53"/>
      <c r="G32" s="278"/>
      <c r="H32" s="102"/>
      <c r="I32" s="384"/>
      <c r="J32" s="262"/>
      <c r="K32" s="278"/>
      <c r="L32" s="262"/>
      <c r="M32" s="278"/>
      <c r="N32" s="102"/>
      <c r="O32" s="384"/>
      <c r="P32" s="102"/>
      <c r="Q32" s="384"/>
      <c r="R32" s="102"/>
      <c r="S32" s="384"/>
      <c r="T32" s="102"/>
      <c r="U32" s="384"/>
      <c r="V32" s="102"/>
      <c r="W32" s="384"/>
      <c r="X32" s="102"/>
      <c r="Y32" s="384"/>
      <c r="Z32" s="1025"/>
      <c r="AA32" s="849"/>
      <c r="AB32" s="720"/>
      <c r="AC32" s="721"/>
    </row>
    <row r="33" spans="1:31" ht="12" hidden="1" customHeight="1" x14ac:dyDescent="0.2">
      <c r="B33" s="45" t="s">
        <v>5</v>
      </c>
      <c r="C33" s="596"/>
      <c r="D33" s="723"/>
      <c r="E33" s="724"/>
      <c r="F33" s="53"/>
      <c r="G33" s="278"/>
      <c r="H33" s="102"/>
      <c r="I33" s="384"/>
      <c r="J33" s="262"/>
      <c r="K33" s="278">
        <v>2</v>
      </c>
      <c r="L33" s="262"/>
      <c r="M33" s="278"/>
      <c r="N33" s="102"/>
      <c r="O33" s="384"/>
      <c r="P33" s="102"/>
      <c r="Q33" s="384"/>
      <c r="R33" s="102"/>
      <c r="S33" s="384"/>
      <c r="T33" s="102"/>
      <c r="U33" s="384"/>
      <c r="V33" s="102"/>
      <c r="W33" s="384"/>
      <c r="X33" s="102"/>
      <c r="Y33" s="384"/>
      <c r="Z33" s="1025"/>
      <c r="AA33" s="849"/>
      <c r="AB33" s="720" t="e">
        <f t="shared" ref="AB33" si="8">AVERAGE(W33,U33,S33,Q33,O33)</f>
        <v>#DIV/0!</v>
      </c>
      <c r="AC33" s="721" t="e">
        <f t="shared" ref="AC33" si="9">AVERAGE(V33,T33,R33,P33,N33)</f>
        <v>#DIV/0!</v>
      </c>
    </row>
    <row r="34" spans="1:31" thickBot="1" x14ac:dyDescent="0.25">
      <c r="B34" s="120" t="s">
        <v>47</v>
      </c>
      <c r="C34" s="725">
        <v>4</v>
      </c>
      <c r="D34" s="726">
        <v>0</v>
      </c>
      <c r="E34" s="727">
        <v>4</v>
      </c>
      <c r="F34" s="719">
        <v>0</v>
      </c>
      <c r="G34" s="280">
        <v>1</v>
      </c>
      <c r="H34" s="728">
        <v>0</v>
      </c>
      <c r="I34" s="729">
        <v>2</v>
      </c>
      <c r="J34" s="730">
        <v>0</v>
      </c>
      <c r="K34" s="280">
        <v>2</v>
      </c>
      <c r="L34" s="730">
        <v>0</v>
      </c>
      <c r="M34" s="280">
        <v>0</v>
      </c>
      <c r="N34" s="728">
        <v>0</v>
      </c>
      <c r="O34" s="729">
        <v>0</v>
      </c>
      <c r="P34" s="728">
        <v>0</v>
      </c>
      <c r="Q34" s="729">
        <v>0</v>
      </c>
      <c r="R34" s="728">
        <v>0</v>
      </c>
      <c r="S34" s="729">
        <v>0</v>
      </c>
      <c r="T34" s="728">
        <v>0</v>
      </c>
      <c r="U34" s="729">
        <v>0</v>
      </c>
      <c r="V34" s="728">
        <v>0</v>
      </c>
      <c r="W34" s="729">
        <v>0</v>
      </c>
      <c r="X34" s="728">
        <v>0</v>
      </c>
      <c r="Y34" s="729">
        <v>0</v>
      </c>
      <c r="Z34" s="1026"/>
      <c r="AA34" s="849"/>
      <c r="AB34" s="864">
        <f t="shared" ref="AB34:AC34" si="10">AVERAGE(W34,U34,S34,Q34,Y34)</f>
        <v>0</v>
      </c>
      <c r="AC34" s="721">
        <f t="shared" si="10"/>
        <v>0</v>
      </c>
    </row>
    <row r="35" spans="1:31" thickTop="1" x14ac:dyDescent="0.2">
      <c r="B35" s="64" t="s">
        <v>102</v>
      </c>
      <c r="C35" s="65"/>
      <c r="D35" s="34"/>
      <c r="E35" s="65"/>
      <c r="F35" s="34"/>
      <c r="G35" s="192"/>
      <c r="H35" s="200"/>
      <c r="I35" s="192"/>
      <c r="J35" s="200"/>
      <c r="K35" s="192"/>
      <c r="L35" s="200"/>
      <c r="M35" s="192"/>
      <c r="N35" s="200"/>
      <c r="O35" s="192"/>
      <c r="P35" s="200"/>
      <c r="Q35" s="192"/>
      <c r="R35" s="200"/>
      <c r="S35" s="192"/>
      <c r="T35" s="200"/>
      <c r="U35" s="192"/>
      <c r="V35" s="200"/>
      <c r="W35" s="192"/>
      <c r="X35" s="200"/>
      <c r="Y35" s="192"/>
      <c r="Z35" s="200"/>
      <c r="AC35" s="747"/>
    </row>
    <row r="36" spans="1:31" ht="3.75" customHeight="1" thickBot="1" x14ac:dyDescent="0.25">
      <c r="C36" s="65"/>
      <c r="D36" s="34"/>
      <c r="E36" s="65"/>
      <c r="F36" s="34"/>
      <c r="G36" s="192"/>
      <c r="H36" s="200"/>
      <c r="I36" s="192"/>
      <c r="J36" s="200"/>
      <c r="K36" s="192"/>
      <c r="L36" s="200"/>
      <c r="M36" s="192"/>
      <c r="N36" s="200"/>
      <c r="O36" s="192"/>
      <c r="P36" s="200"/>
      <c r="Q36" s="192"/>
      <c r="R36" s="200"/>
      <c r="S36" s="192"/>
      <c r="T36" s="200"/>
      <c r="U36" s="192"/>
      <c r="V36" s="200"/>
      <c r="W36" s="192"/>
      <c r="X36" s="200"/>
      <c r="Y36" s="192"/>
      <c r="Z36" s="200"/>
    </row>
    <row r="37" spans="1:31" ht="14.25" customHeight="1" thickTop="1" thickBot="1" x14ac:dyDescent="0.25">
      <c r="B37" s="18"/>
      <c r="C37" s="1292" t="s">
        <v>27</v>
      </c>
      <c r="D37" s="1293"/>
      <c r="E37" s="1292" t="s">
        <v>28</v>
      </c>
      <c r="F37" s="1294"/>
      <c r="G37" s="1286" t="s">
        <v>83</v>
      </c>
      <c r="H37" s="1255"/>
      <c r="I37" s="1340" t="s">
        <v>93</v>
      </c>
      <c r="J37" s="1340"/>
      <c r="K37" s="1342" t="s">
        <v>94</v>
      </c>
      <c r="L37" s="1340"/>
      <c r="M37" s="1342" t="s">
        <v>100</v>
      </c>
      <c r="N37" s="1341"/>
      <c r="O37" s="1340" t="s">
        <v>143</v>
      </c>
      <c r="P37" s="1341"/>
      <c r="Q37" s="1340" t="s">
        <v>149</v>
      </c>
      <c r="R37" s="1341"/>
      <c r="S37" s="1340" t="s">
        <v>167</v>
      </c>
      <c r="T37" s="1341"/>
      <c r="U37" s="1340" t="s">
        <v>181</v>
      </c>
      <c r="V37" s="1341"/>
      <c r="W37" s="1340" t="s">
        <v>194</v>
      </c>
      <c r="X37" s="1341"/>
      <c r="Y37" s="1340" t="s">
        <v>203</v>
      </c>
      <c r="Z37" s="1341"/>
      <c r="AB37" s="1259" t="s">
        <v>133</v>
      </c>
      <c r="AC37" s="1260"/>
    </row>
    <row r="38" spans="1:31" ht="12" x14ac:dyDescent="0.2">
      <c r="B38" s="14" t="s">
        <v>8</v>
      </c>
      <c r="C38" s="129"/>
      <c r="D38" s="130"/>
      <c r="E38" s="31"/>
      <c r="F38" s="31"/>
      <c r="G38" s="229"/>
      <c r="H38" s="326"/>
      <c r="I38" s="231"/>
      <c r="J38" s="308"/>
      <c r="K38" s="231"/>
      <c r="L38" s="308"/>
      <c r="M38" s="231"/>
      <c r="N38" s="316"/>
      <c r="O38" s="308"/>
      <c r="P38" s="316"/>
      <c r="Q38" s="308"/>
      <c r="R38" s="316"/>
      <c r="S38" s="308"/>
      <c r="T38" s="316"/>
      <c r="U38" s="308"/>
      <c r="V38" s="316"/>
      <c r="W38" s="308"/>
      <c r="X38" s="316"/>
      <c r="Y38" s="308"/>
      <c r="Z38" s="316"/>
      <c r="AB38" s="639"/>
      <c r="AC38" s="638"/>
    </row>
    <row r="39" spans="1:31" ht="12" x14ac:dyDescent="0.2">
      <c r="B39" s="48" t="s">
        <v>9</v>
      </c>
      <c r="C39" s="131"/>
      <c r="D39" s="132"/>
      <c r="E39" s="32"/>
      <c r="F39" s="32"/>
      <c r="G39" s="209"/>
      <c r="H39" s="313"/>
      <c r="I39" s="284"/>
      <c r="J39" s="284"/>
      <c r="K39" s="209"/>
      <c r="L39" s="284"/>
      <c r="M39" s="209"/>
      <c r="N39" s="313"/>
      <c r="O39" s="284"/>
      <c r="P39" s="313"/>
      <c r="Q39" s="284"/>
      <c r="R39" s="313"/>
      <c r="S39" s="284"/>
      <c r="T39" s="313"/>
      <c r="U39" s="284"/>
      <c r="V39" s="313"/>
      <c r="W39" s="284"/>
      <c r="X39" s="313"/>
      <c r="Y39" s="284"/>
      <c r="Z39" s="313"/>
      <c r="AB39" s="523"/>
      <c r="AC39" s="272"/>
    </row>
    <row r="40" spans="1:31" ht="12" x14ac:dyDescent="0.2">
      <c r="B40" s="48" t="s">
        <v>10</v>
      </c>
      <c r="C40" s="131"/>
      <c r="D40" s="133">
        <v>7043</v>
      </c>
      <c r="E40" s="32"/>
      <c r="F40" s="52">
        <v>5534</v>
      </c>
      <c r="G40" s="209" t="s">
        <v>19</v>
      </c>
      <c r="H40" s="305">
        <v>5192</v>
      </c>
      <c r="I40" s="284" t="s">
        <v>19</v>
      </c>
      <c r="J40" s="101">
        <v>6319</v>
      </c>
      <c r="K40" s="209" t="s">
        <v>19</v>
      </c>
      <c r="L40" s="101">
        <v>5939</v>
      </c>
      <c r="M40" s="209" t="s">
        <v>19</v>
      </c>
      <c r="N40" s="305">
        <v>5763</v>
      </c>
      <c r="O40" s="284" t="s">
        <v>19</v>
      </c>
      <c r="P40" s="305">
        <v>5885</v>
      </c>
      <c r="Q40" s="284" t="s">
        <v>19</v>
      </c>
      <c r="R40" s="305">
        <v>5796</v>
      </c>
      <c r="S40" s="284" t="s">
        <v>19</v>
      </c>
      <c r="T40" s="305">
        <v>5486</v>
      </c>
      <c r="U40" s="284" t="s">
        <v>19</v>
      </c>
      <c r="V40" s="305">
        <v>6317</v>
      </c>
      <c r="W40" s="284" t="s">
        <v>19</v>
      </c>
      <c r="X40" s="305">
        <v>6327</v>
      </c>
      <c r="Y40" s="284" t="s">
        <v>19</v>
      </c>
      <c r="Z40" s="1002"/>
      <c r="AB40" s="614"/>
      <c r="AC40" s="650">
        <f t="shared" ref="AC40:AC44" si="11">AVERAGE(X40,V40,T40,R40,Z40)</f>
        <v>5981.5</v>
      </c>
    </row>
    <row r="41" spans="1:31" ht="12" x14ac:dyDescent="0.2">
      <c r="B41" s="48" t="s">
        <v>11</v>
      </c>
      <c r="C41" s="131"/>
      <c r="D41" s="133">
        <v>8203</v>
      </c>
      <c r="E41" s="32"/>
      <c r="F41" s="52">
        <v>10229</v>
      </c>
      <c r="G41" s="209"/>
      <c r="H41" s="305">
        <v>11258</v>
      </c>
      <c r="I41" s="284"/>
      <c r="J41" s="101">
        <v>11701</v>
      </c>
      <c r="K41" s="209"/>
      <c r="L41" s="101">
        <v>11810</v>
      </c>
      <c r="M41" s="209"/>
      <c r="N41" s="305">
        <v>11145</v>
      </c>
      <c r="O41" s="284"/>
      <c r="P41" s="305">
        <v>12825</v>
      </c>
      <c r="Q41" s="284"/>
      <c r="R41" s="305">
        <v>14053</v>
      </c>
      <c r="S41" s="284"/>
      <c r="T41" s="305">
        <v>14444</v>
      </c>
      <c r="U41" s="284"/>
      <c r="V41" s="305">
        <v>14432</v>
      </c>
      <c r="W41" s="284"/>
      <c r="X41" s="305">
        <v>13642</v>
      </c>
      <c r="Y41" s="284"/>
      <c r="Z41" s="1002"/>
      <c r="AB41" s="636"/>
      <c r="AC41" s="650">
        <f t="shared" si="11"/>
        <v>14142.75</v>
      </c>
    </row>
    <row r="42" spans="1:31" ht="12" x14ac:dyDescent="0.2">
      <c r="B42" s="48" t="s">
        <v>12</v>
      </c>
      <c r="C42" s="131"/>
      <c r="D42" s="133">
        <v>2348</v>
      </c>
      <c r="E42" s="32"/>
      <c r="F42" s="52">
        <v>3169</v>
      </c>
      <c r="G42" s="209"/>
      <c r="H42" s="305">
        <v>3689</v>
      </c>
      <c r="I42" s="284"/>
      <c r="J42" s="101">
        <v>3852</v>
      </c>
      <c r="K42" s="209"/>
      <c r="L42" s="101">
        <v>3794</v>
      </c>
      <c r="M42" s="209"/>
      <c r="N42" s="305">
        <v>3934</v>
      </c>
      <c r="O42" s="284"/>
      <c r="P42" s="305">
        <v>3624</v>
      </c>
      <c r="Q42" s="284"/>
      <c r="R42" s="305">
        <v>3680</v>
      </c>
      <c r="S42" s="284"/>
      <c r="T42" s="305">
        <v>3767</v>
      </c>
      <c r="U42" s="284"/>
      <c r="V42" s="305">
        <v>3724</v>
      </c>
      <c r="W42" s="284"/>
      <c r="X42" s="305">
        <v>3909</v>
      </c>
      <c r="Y42" s="284"/>
      <c r="Z42" s="1002"/>
      <c r="AB42" s="636"/>
      <c r="AC42" s="650">
        <f t="shared" si="11"/>
        <v>3770</v>
      </c>
    </row>
    <row r="43" spans="1:31" ht="12" x14ac:dyDescent="0.2">
      <c r="B43" s="48" t="s">
        <v>13</v>
      </c>
      <c r="C43" s="131"/>
      <c r="D43" s="133">
        <v>460</v>
      </c>
      <c r="E43" s="32"/>
      <c r="F43" s="52">
        <v>598</v>
      </c>
      <c r="G43" s="209"/>
      <c r="H43" s="305">
        <v>548</v>
      </c>
      <c r="I43" s="284"/>
      <c r="J43" s="101">
        <v>399</v>
      </c>
      <c r="K43" s="209"/>
      <c r="L43" s="101">
        <v>514</v>
      </c>
      <c r="M43" s="209"/>
      <c r="N43" s="305">
        <v>416</v>
      </c>
      <c r="O43" s="284"/>
      <c r="P43" s="305">
        <v>519</v>
      </c>
      <c r="Q43" s="284"/>
      <c r="R43" s="305">
        <v>488</v>
      </c>
      <c r="S43" s="284"/>
      <c r="T43" s="305">
        <v>682</v>
      </c>
      <c r="U43" s="284"/>
      <c r="V43" s="305">
        <v>814</v>
      </c>
      <c r="W43" s="284"/>
      <c r="X43" s="305">
        <v>1038</v>
      </c>
      <c r="Y43" s="284"/>
      <c r="Z43" s="1002"/>
      <c r="AB43" s="636"/>
      <c r="AC43" s="650">
        <f t="shared" si="11"/>
        <v>755.5</v>
      </c>
      <c r="AE43" s="1" t="s">
        <v>19</v>
      </c>
    </row>
    <row r="44" spans="1:31" thickBot="1" x14ac:dyDescent="0.25">
      <c r="B44" s="49" t="s">
        <v>14</v>
      </c>
      <c r="C44" s="134"/>
      <c r="D44" s="135">
        <f>SUM(D40:D43)</f>
        <v>18054</v>
      </c>
      <c r="E44" s="63"/>
      <c r="F44" s="56">
        <f>SUM(F40:F43)</f>
        <v>19530</v>
      </c>
      <c r="G44" s="213"/>
      <c r="H44" s="306">
        <f>SUM(H40:H43)</f>
        <v>20687</v>
      </c>
      <c r="I44" s="302"/>
      <c r="J44" s="364">
        <f>SUM(J40:J43)</f>
        <v>22271</v>
      </c>
      <c r="K44" s="213"/>
      <c r="L44" s="364">
        <f>SUM(L40:L43)</f>
        <v>22057</v>
      </c>
      <c r="M44" s="213"/>
      <c r="N44" s="306">
        <f>SUM(N40:N43)</f>
        <v>21258</v>
      </c>
      <c r="O44" s="302"/>
      <c r="P44" s="306">
        <f>SUM(P40:P43)</f>
        <v>22853</v>
      </c>
      <c r="Q44" s="302"/>
      <c r="R44" s="306">
        <f>SUM(R40:R43)</f>
        <v>24017</v>
      </c>
      <c r="S44" s="302"/>
      <c r="T44" s="306">
        <f>SUM(T40:T43)</f>
        <v>24379</v>
      </c>
      <c r="U44" s="302"/>
      <c r="V44" s="306">
        <f>SUM(V40:V43)</f>
        <v>25287</v>
      </c>
      <c r="W44" s="302"/>
      <c r="X44" s="306">
        <f>SUM(X40:X43)</f>
        <v>24916</v>
      </c>
      <c r="Y44" s="302"/>
      <c r="Z44" s="1020"/>
      <c r="AB44" s="523"/>
      <c r="AC44" s="749">
        <f t="shared" si="11"/>
        <v>24649.75</v>
      </c>
      <c r="AD44" s="523"/>
    </row>
    <row r="45" spans="1:31" ht="14.25" thickTop="1" thickBot="1" x14ac:dyDescent="0.25">
      <c r="A45" s="272"/>
      <c r="B45" s="576" t="s">
        <v>124</v>
      </c>
      <c r="C45" s="1282" t="s">
        <v>29</v>
      </c>
      <c r="D45" s="1295"/>
      <c r="E45" s="1282" t="s">
        <v>30</v>
      </c>
      <c r="F45" s="1295"/>
      <c r="G45" s="1280" t="s">
        <v>120</v>
      </c>
      <c r="H45" s="1253"/>
      <c r="I45" s="1280" t="s">
        <v>121</v>
      </c>
      <c r="J45" s="1291"/>
      <c r="K45" s="1280" t="s">
        <v>122</v>
      </c>
      <c r="L45" s="1291"/>
      <c r="M45" s="1269" t="s">
        <v>123</v>
      </c>
      <c r="N45" s="1253"/>
      <c r="O45" s="1252" t="s">
        <v>144</v>
      </c>
      <c r="P45" s="1253"/>
      <c r="Q45" s="1252" t="s">
        <v>150</v>
      </c>
      <c r="R45" s="1253"/>
      <c r="S45" s="1252" t="s">
        <v>164</v>
      </c>
      <c r="T45" s="1253"/>
      <c r="U45" s="1252" t="s">
        <v>182</v>
      </c>
      <c r="V45" s="1253"/>
      <c r="W45" s="1252" t="s">
        <v>195</v>
      </c>
      <c r="X45" s="1253"/>
      <c r="Y45" s="1252" t="s">
        <v>204</v>
      </c>
      <c r="Z45" s="1253"/>
      <c r="AA45" s="536"/>
      <c r="AB45" s="1325"/>
      <c r="AC45" s="1326"/>
      <c r="AD45" s="283"/>
      <c r="AE45" s="283"/>
    </row>
    <row r="46" spans="1:31" x14ac:dyDescent="0.2">
      <c r="A46" s="272"/>
      <c r="B46" s="577" t="s">
        <v>107</v>
      </c>
      <c r="C46" s="1297">
        <v>0.36399999999999999</v>
      </c>
      <c r="D46" s="1298"/>
      <c r="E46" s="1299">
        <v>0.36499999999999999</v>
      </c>
      <c r="F46" s="1300"/>
      <c r="G46" s="1287">
        <v>0.39200000000000002</v>
      </c>
      <c r="H46" s="1288"/>
      <c r="I46" s="1287">
        <v>0.38</v>
      </c>
      <c r="J46" s="1288"/>
      <c r="K46" s="578"/>
      <c r="L46" s="579">
        <v>0.33400000000000002</v>
      </c>
      <c r="M46" s="580"/>
      <c r="N46" s="796">
        <v>0.33200000000000002</v>
      </c>
      <c r="O46" s="794"/>
      <c r="P46" s="796">
        <v>0.34200000000000003</v>
      </c>
      <c r="Q46" s="895"/>
      <c r="R46" s="796">
        <v>0.39400000000000002</v>
      </c>
      <c r="S46" s="895"/>
      <c r="T46" s="796">
        <v>0.40200000000000002</v>
      </c>
      <c r="U46" s="895"/>
      <c r="V46" s="796">
        <v>0.40799999999999997</v>
      </c>
      <c r="W46" s="895"/>
      <c r="X46" s="796">
        <v>0.46400000000000002</v>
      </c>
      <c r="Y46" s="895"/>
      <c r="Z46" s="796">
        <v>0.44</v>
      </c>
      <c r="AA46" s="844"/>
      <c r="AB46" s="651"/>
      <c r="AC46" s="581">
        <f t="shared" ref="AC46:AC47" si="12">AVERAGE(X46,V46,T46,R46,Z46)</f>
        <v>0.42160000000000003</v>
      </c>
      <c r="AD46" s="283"/>
      <c r="AE46" s="283"/>
    </row>
    <row r="47" spans="1:31" x14ac:dyDescent="0.2">
      <c r="A47" s="272"/>
      <c r="B47" s="582" t="s">
        <v>108</v>
      </c>
      <c r="C47" s="1301">
        <v>8.8999999999999996E-2</v>
      </c>
      <c r="D47" s="1300"/>
      <c r="E47" s="1274">
        <v>0.11799999999999999</v>
      </c>
      <c r="F47" s="1275"/>
      <c r="G47" s="1276">
        <v>0.14399999999999999</v>
      </c>
      <c r="H47" s="1277"/>
      <c r="I47" s="1276">
        <v>0.123</v>
      </c>
      <c r="J47" s="1277"/>
      <c r="K47" s="583"/>
      <c r="L47" s="584">
        <v>0.11799999999999999</v>
      </c>
      <c r="M47" s="583"/>
      <c r="N47" s="797">
        <v>0.153</v>
      </c>
      <c r="O47" s="795"/>
      <c r="P47" s="797">
        <v>0.11</v>
      </c>
      <c r="Q47" s="896"/>
      <c r="R47" s="797">
        <v>0.112</v>
      </c>
      <c r="S47" s="896"/>
      <c r="T47" s="797">
        <v>0.113</v>
      </c>
      <c r="U47" s="896"/>
      <c r="V47" s="797">
        <v>0.10100000000000001</v>
      </c>
      <c r="W47" s="896"/>
      <c r="X47" s="797">
        <v>0.108</v>
      </c>
      <c r="Y47" s="896"/>
      <c r="Z47" s="797">
        <v>0.109</v>
      </c>
      <c r="AA47" s="844"/>
      <c r="AB47" s="652"/>
      <c r="AC47" s="585">
        <f t="shared" si="12"/>
        <v>0.1086</v>
      </c>
      <c r="AD47" s="283"/>
      <c r="AE47" s="283"/>
    </row>
    <row r="48" spans="1:31" ht="13.5" thickBot="1" x14ac:dyDescent="0.25">
      <c r="B48" s="586" t="s">
        <v>109</v>
      </c>
      <c r="C48" s="1257">
        <f>1-SUM(C46:D47)</f>
        <v>0.54700000000000004</v>
      </c>
      <c r="D48" s="1296"/>
      <c r="E48" s="1257">
        <f>1-SUM(E46:F47)</f>
        <v>0.51700000000000002</v>
      </c>
      <c r="F48" s="1258"/>
      <c r="G48" s="1257">
        <f>1-SUM(G46:H47)</f>
        <v>0.46399999999999997</v>
      </c>
      <c r="H48" s="1258"/>
      <c r="I48" s="1257">
        <f>1-SUM(I46:J47)</f>
        <v>0.497</v>
      </c>
      <c r="J48" s="1258"/>
      <c r="K48" s="587"/>
      <c r="L48" s="590">
        <f>1-SUM(L46:L47)</f>
        <v>0.54800000000000004</v>
      </c>
      <c r="M48" s="587"/>
      <c r="N48" s="590">
        <f>1-SUM(N46:N47)</f>
        <v>0.51500000000000001</v>
      </c>
      <c r="O48" s="802"/>
      <c r="P48" s="590">
        <f>1-SUM(P46:P47)</f>
        <v>0.54800000000000004</v>
      </c>
      <c r="Q48" s="897"/>
      <c r="R48" s="898">
        <f>1-R46-R47</f>
        <v>0.49399999999999999</v>
      </c>
      <c r="S48" s="897"/>
      <c r="T48" s="898">
        <f>1-T46-T47</f>
        <v>0.48499999999999999</v>
      </c>
      <c r="U48" s="897"/>
      <c r="V48" s="898">
        <f>1-V46-V47</f>
        <v>0.4910000000000001</v>
      </c>
      <c r="W48" s="897"/>
      <c r="X48" s="898">
        <f>1-X46-X47</f>
        <v>0.42800000000000005</v>
      </c>
      <c r="Y48" s="897"/>
      <c r="Z48" s="898">
        <f>1-Z46-Z47</f>
        <v>0.45100000000000007</v>
      </c>
      <c r="AA48" s="844"/>
      <c r="AB48" s="588"/>
      <c r="AC48" s="589">
        <f>AVERAGE(X48,V48,T48,R48,Z48)</f>
        <v>0.46980000000000005</v>
      </c>
      <c r="AD48" s="283"/>
      <c r="AE48" s="283"/>
    </row>
    <row r="49" spans="1:29" ht="7.5" customHeight="1" thickTop="1" x14ac:dyDescent="0.2">
      <c r="B49" s="83"/>
      <c r="C49" s="70"/>
      <c r="D49" s="82"/>
      <c r="E49" s="70"/>
      <c r="F49" s="82"/>
      <c r="G49" s="282"/>
      <c r="H49" s="236"/>
      <c r="I49" s="282"/>
      <c r="J49" s="283"/>
      <c r="K49" s="282"/>
      <c r="L49" s="283"/>
      <c r="M49" s="282"/>
      <c r="N49" s="283"/>
      <c r="O49" s="282"/>
      <c r="P49" s="283"/>
      <c r="Q49" s="282"/>
      <c r="R49" s="283"/>
      <c r="S49" s="282"/>
      <c r="T49" s="283"/>
      <c r="U49" s="282"/>
      <c r="V49" s="283"/>
      <c r="W49" s="282"/>
      <c r="X49" s="283"/>
      <c r="Y49" s="282"/>
      <c r="Z49" s="283"/>
    </row>
    <row r="50" spans="1:29" x14ac:dyDescent="0.2">
      <c r="A50" s="86" t="s">
        <v>37</v>
      </c>
      <c r="B50" s="70"/>
      <c r="C50" s="4"/>
      <c r="D50" s="4"/>
      <c r="E50" s="4"/>
      <c r="F50" s="4"/>
      <c r="G50" s="202"/>
      <c r="H50" s="202"/>
      <c r="I50" s="202"/>
      <c r="J50" s="202"/>
      <c r="K50" s="202"/>
      <c r="L50" s="202"/>
      <c r="M50" s="202"/>
      <c r="N50" s="202"/>
      <c r="O50" s="202"/>
      <c r="P50" s="202"/>
      <c r="Q50" s="202"/>
      <c r="R50" s="202"/>
      <c r="S50" s="202"/>
      <c r="T50" s="202"/>
      <c r="U50" s="202"/>
      <c r="V50" s="202"/>
      <c r="W50" s="202"/>
      <c r="X50" s="202"/>
      <c r="Y50" s="202"/>
      <c r="Z50" s="202"/>
    </row>
    <row r="51" spans="1:29" ht="6" customHeight="1" thickBot="1" x14ac:dyDescent="0.25">
      <c r="A51" s="86"/>
      <c r="B51" s="70"/>
      <c r="C51" s="4"/>
      <c r="D51" s="4"/>
      <c r="E51" s="4"/>
      <c r="F51" s="4"/>
      <c r="G51" s="202"/>
      <c r="H51" s="413"/>
      <c r="I51" s="202"/>
      <c r="J51" s="202"/>
      <c r="K51" s="202"/>
      <c r="L51" s="202"/>
      <c r="M51" s="202"/>
      <c r="N51" s="202"/>
      <c r="O51" s="202"/>
      <c r="P51" s="202"/>
      <c r="Q51" s="202"/>
      <c r="R51" s="202"/>
      <c r="S51" s="202"/>
      <c r="T51" s="202"/>
      <c r="U51" s="202"/>
      <c r="V51" s="202"/>
      <c r="W51" s="202"/>
      <c r="X51" s="202"/>
      <c r="Y51" s="202"/>
      <c r="Z51" s="202"/>
    </row>
    <row r="52" spans="1:29" ht="14.25" thickTop="1" thickBot="1" x14ac:dyDescent="0.25">
      <c r="A52" s="3"/>
      <c r="B52" s="400" t="s">
        <v>38</v>
      </c>
      <c r="C52" s="1292" t="s">
        <v>27</v>
      </c>
      <c r="D52" s="1293"/>
      <c r="E52" s="1292" t="s">
        <v>28</v>
      </c>
      <c r="F52" s="1294"/>
      <c r="G52" s="1286" t="s">
        <v>83</v>
      </c>
      <c r="H52" s="1255"/>
      <c r="I52" s="1286" t="s">
        <v>93</v>
      </c>
      <c r="J52" s="1254"/>
      <c r="K52" s="1286" t="s">
        <v>94</v>
      </c>
      <c r="L52" s="1254"/>
      <c r="M52" s="1286" t="s">
        <v>100</v>
      </c>
      <c r="N52" s="1255"/>
      <c r="O52" s="1254" t="s">
        <v>143</v>
      </c>
      <c r="P52" s="1255"/>
      <c r="Q52" s="1254" t="s">
        <v>149</v>
      </c>
      <c r="R52" s="1255"/>
      <c r="S52" s="1254" t="s">
        <v>167</v>
      </c>
      <c r="T52" s="1255"/>
      <c r="U52" s="1254" t="s">
        <v>181</v>
      </c>
      <c r="V52" s="1255"/>
      <c r="W52" s="1254" t="s">
        <v>194</v>
      </c>
      <c r="X52" s="1255"/>
      <c r="Y52" s="1254" t="s">
        <v>203</v>
      </c>
      <c r="Z52" s="1255"/>
      <c r="AB52" s="1259" t="s">
        <v>133</v>
      </c>
      <c r="AC52" s="1260"/>
    </row>
    <row r="53" spans="1:29" x14ac:dyDescent="0.2">
      <c r="A53" s="3"/>
      <c r="B53" s="401" t="s">
        <v>39</v>
      </c>
      <c r="C53" s="131"/>
      <c r="D53" s="132"/>
      <c r="E53" s="32"/>
      <c r="F53" s="32"/>
      <c r="G53" s="209"/>
      <c r="H53" s="313"/>
      <c r="I53" s="301"/>
      <c r="J53" s="301"/>
      <c r="K53" s="229"/>
      <c r="L53" s="301"/>
      <c r="M53" s="229"/>
      <c r="N53" s="326"/>
      <c r="O53" s="301"/>
      <c r="P53" s="326"/>
      <c r="Q53" s="301"/>
      <c r="R53" s="326"/>
      <c r="S53" s="301"/>
      <c r="T53" s="326"/>
      <c r="U53" s="301"/>
      <c r="V53" s="326"/>
      <c r="W53" s="301"/>
      <c r="X53" s="326"/>
      <c r="Y53" s="301"/>
      <c r="Z53" s="326"/>
      <c r="AB53" s="624"/>
      <c r="AC53" s="625"/>
    </row>
    <row r="54" spans="1:29" x14ac:dyDescent="0.2">
      <c r="A54" s="3"/>
      <c r="B54" s="402" t="s">
        <v>40</v>
      </c>
      <c r="C54" s="495"/>
      <c r="D54" s="496">
        <v>2131696</v>
      </c>
      <c r="E54" s="497"/>
      <c r="F54" s="498">
        <v>2326686</v>
      </c>
      <c r="G54" s="499"/>
      <c r="H54" s="500">
        <v>2404279</v>
      </c>
      <c r="I54" s="168"/>
      <c r="J54" s="500">
        <v>2497332</v>
      </c>
      <c r="K54" s="497"/>
      <c r="L54" s="500">
        <v>2804632</v>
      </c>
      <c r="M54" s="497"/>
      <c r="N54" s="498">
        <v>2942881</v>
      </c>
      <c r="O54" s="499"/>
      <c r="P54" s="498">
        <v>2855471</v>
      </c>
      <c r="Q54" s="499"/>
      <c r="R54" s="498">
        <v>2986073</v>
      </c>
      <c r="S54" s="499"/>
      <c r="T54" s="498">
        <v>3017359</v>
      </c>
      <c r="U54" s="499"/>
      <c r="V54" s="498">
        <v>3104956</v>
      </c>
      <c r="W54" s="499"/>
      <c r="X54" s="498">
        <v>3361394</v>
      </c>
      <c r="Y54" s="499"/>
      <c r="Z54" s="498">
        <v>3482802</v>
      </c>
      <c r="AB54" s="636"/>
      <c r="AC54" s="631">
        <f>AVERAGE(X54,V54,T54,R54,Z54)</f>
        <v>3190516.8</v>
      </c>
    </row>
    <row r="55" spans="1:29" x14ac:dyDescent="0.2">
      <c r="A55" s="3"/>
      <c r="B55" s="402" t="s">
        <v>152</v>
      </c>
      <c r="C55" s="495"/>
      <c r="D55" s="496"/>
      <c r="E55" s="497"/>
      <c r="F55" s="498"/>
      <c r="G55" s="499"/>
      <c r="H55" s="500"/>
      <c r="I55" s="168"/>
      <c r="J55" s="500"/>
      <c r="K55" s="497"/>
      <c r="L55" s="500"/>
      <c r="M55" s="497"/>
      <c r="N55" s="498"/>
      <c r="O55" s="499"/>
      <c r="P55" s="498"/>
      <c r="Q55" s="499"/>
      <c r="R55" s="498"/>
      <c r="S55" s="499"/>
      <c r="T55" s="498"/>
      <c r="U55" s="499"/>
      <c r="V55" s="498"/>
      <c r="W55" s="499"/>
      <c r="X55" s="498"/>
      <c r="Y55" s="499"/>
      <c r="Z55" s="498"/>
      <c r="AB55" s="614"/>
      <c r="AC55" s="631"/>
    </row>
    <row r="56" spans="1:29" ht="36" x14ac:dyDescent="0.2">
      <c r="A56" s="3"/>
      <c r="B56" s="403" t="s">
        <v>49</v>
      </c>
      <c r="C56" s="501"/>
      <c r="D56" s="502">
        <v>1770086</v>
      </c>
      <c r="E56" s="168"/>
      <c r="F56" s="503">
        <v>1439851</v>
      </c>
      <c r="G56" s="124"/>
      <c r="H56" s="504">
        <v>1472521</v>
      </c>
      <c r="I56" s="168"/>
      <c r="J56" s="504">
        <v>1523890</v>
      </c>
      <c r="K56" s="168"/>
      <c r="L56" s="504">
        <v>1649657</v>
      </c>
      <c r="M56" s="168"/>
      <c r="N56" s="503">
        <v>1661936</v>
      </c>
      <c r="O56" s="124"/>
      <c r="P56" s="503">
        <v>1732070</v>
      </c>
      <c r="Q56" s="124"/>
      <c r="R56" s="503">
        <v>1755427</v>
      </c>
      <c r="S56" s="124"/>
      <c r="T56" s="503">
        <v>1852361</v>
      </c>
      <c r="U56" s="124"/>
      <c r="V56" s="503">
        <v>2092247</v>
      </c>
      <c r="W56" s="124"/>
      <c r="X56" s="503">
        <v>1863391</v>
      </c>
      <c r="Y56" s="124"/>
      <c r="Z56" s="503">
        <v>2182734</v>
      </c>
      <c r="AB56" s="614"/>
      <c r="AC56" s="631">
        <f t="shared" ref="AC56:AC57" si="13">AVERAGE(X56,V56,T56,R56,Z56)</f>
        <v>1949232</v>
      </c>
    </row>
    <row r="57" spans="1:29" x14ac:dyDescent="0.2">
      <c r="A57" s="3"/>
      <c r="B57" s="404" t="s">
        <v>41</v>
      </c>
      <c r="C57" s="506"/>
      <c r="D57" s="507">
        <f>SUM(D54:D56)</f>
        <v>3901782</v>
      </c>
      <c r="E57" s="508"/>
      <c r="F57" s="505">
        <f>SUM(F54:F56)</f>
        <v>3766537</v>
      </c>
      <c r="G57" s="509"/>
      <c r="H57" s="510">
        <f>SUM(H54:H56)</f>
        <v>3876800</v>
      </c>
      <c r="I57" s="508"/>
      <c r="J57" s="510">
        <f>SUM(J54:J56)</f>
        <v>4021222</v>
      </c>
      <c r="K57" s="508"/>
      <c r="L57" s="510">
        <f>SUM(L54:L56)</f>
        <v>4454289</v>
      </c>
      <c r="M57" s="508"/>
      <c r="N57" s="512">
        <f>SUM(N54:N56)</f>
        <v>4604817</v>
      </c>
      <c r="O57" s="509"/>
      <c r="P57" s="512">
        <f>SUM(P54:P56)</f>
        <v>4587541</v>
      </c>
      <c r="Q57" s="509"/>
      <c r="R57" s="512">
        <f>SUM(R54:R56)</f>
        <v>4741500</v>
      </c>
      <c r="S57" s="509"/>
      <c r="T57" s="512">
        <f>SUM(T54:T56)</f>
        <v>4869720</v>
      </c>
      <c r="U57" s="509"/>
      <c r="V57" s="512">
        <f>SUM(V54:V56)</f>
        <v>5197203</v>
      </c>
      <c r="W57" s="509"/>
      <c r="X57" s="512">
        <f>SUM(X54:X56)</f>
        <v>5224785</v>
      </c>
      <c r="Y57" s="509"/>
      <c r="Z57" s="512">
        <f>SUM(Z54:Z56)</f>
        <v>5665536</v>
      </c>
      <c r="AB57" s="636"/>
      <c r="AC57" s="680">
        <f t="shared" si="13"/>
        <v>5139748.8</v>
      </c>
    </row>
    <row r="58" spans="1:29" x14ac:dyDescent="0.2">
      <c r="A58" s="3"/>
      <c r="B58" s="401" t="s">
        <v>42</v>
      </c>
      <c r="C58" s="501"/>
      <c r="D58" s="502"/>
      <c r="E58" s="168"/>
      <c r="F58" s="503"/>
      <c r="G58" s="124"/>
      <c r="H58" s="504"/>
      <c r="I58" s="168"/>
      <c r="J58" s="504"/>
      <c r="K58" s="168"/>
      <c r="L58" s="504"/>
      <c r="M58" s="168"/>
      <c r="N58" s="503"/>
      <c r="O58" s="124"/>
      <c r="P58" s="503"/>
      <c r="Q58" s="124"/>
      <c r="R58" s="503"/>
      <c r="S58" s="124"/>
      <c r="T58" s="503"/>
      <c r="U58" s="124"/>
      <c r="V58" s="503"/>
      <c r="W58" s="124"/>
      <c r="X58" s="503"/>
      <c r="Y58" s="124"/>
      <c r="Z58" s="503"/>
      <c r="AB58" s="523"/>
      <c r="AC58" s="631"/>
    </row>
    <row r="59" spans="1:29" x14ac:dyDescent="0.2">
      <c r="A59" s="3"/>
      <c r="B59" s="402" t="s">
        <v>40</v>
      </c>
      <c r="C59" s="501"/>
      <c r="D59" s="502">
        <v>539815</v>
      </c>
      <c r="E59" s="168"/>
      <c r="F59" s="503">
        <v>569646</v>
      </c>
      <c r="G59" s="124"/>
      <c r="H59" s="504">
        <v>646628</v>
      </c>
      <c r="I59" s="168"/>
      <c r="J59" s="504">
        <v>676370</v>
      </c>
      <c r="K59" s="168"/>
      <c r="L59" s="504">
        <v>697485</v>
      </c>
      <c r="M59" s="168"/>
      <c r="N59" s="503">
        <v>720831</v>
      </c>
      <c r="O59" s="124"/>
      <c r="P59" s="503">
        <v>639352</v>
      </c>
      <c r="Q59" s="124"/>
      <c r="R59" s="503">
        <v>651078</v>
      </c>
      <c r="S59" s="124"/>
      <c r="T59" s="503">
        <v>671480</v>
      </c>
      <c r="U59" s="124"/>
      <c r="V59" s="503">
        <v>703116</v>
      </c>
      <c r="W59" s="124"/>
      <c r="X59" s="503">
        <v>796713</v>
      </c>
      <c r="Y59" s="124"/>
      <c r="Z59" s="503">
        <v>823206</v>
      </c>
      <c r="AB59" s="636"/>
      <c r="AC59" s="631">
        <f>AVERAGE(X59,V59,T59,R59,Z59)</f>
        <v>729118.6</v>
      </c>
    </row>
    <row r="60" spans="1:29" x14ac:dyDescent="0.2">
      <c r="A60" s="3"/>
      <c r="B60" s="402" t="s">
        <v>152</v>
      </c>
      <c r="C60" s="501"/>
      <c r="D60" s="502"/>
      <c r="E60" s="168"/>
      <c r="F60" s="503"/>
      <c r="G60" s="124"/>
      <c r="H60" s="504"/>
      <c r="I60" s="168"/>
      <c r="J60" s="504"/>
      <c r="K60" s="168"/>
      <c r="L60" s="504"/>
      <c r="M60" s="168"/>
      <c r="N60" s="503"/>
      <c r="O60" s="124"/>
      <c r="P60" s="503"/>
      <c r="Q60" s="124"/>
      <c r="R60" s="503"/>
      <c r="S60" s="124"/>
      <c r="T60" s="503"/>
      <c r="U60" s="124"/>
      <c r="V60" s="503"/>
      <c r="W60" s="124"/>
      <c r="X60" s="503"/>
      <c r="Y60" s="124"/>
      <c r="Z60" s="503"/>
      <c r="AB60" s="636"/>
      <c r="AC60" s="631"/>
    </row>
    <row r="61" spans="1:29" ht="36" x14ac:dyDescent="0.2">
      <c r="A61" s="3"/>
      <c r="B61" s="403" t="s">
        <v>49</v>
      </c>
      <c r="C61" s="501"/>
      <c r="D61" s="504">
        <v>44660</v>
      </c>
      <c r="E61" s="168"/>
      <c r="F61" s="503">
        <v>803897</v>
      </c>
      <c r="G61" s="124"/>
      <c r="H61" s="504">
        <v>804470</v>
      </c>
      <c r="I61" s="168"/>
      <c r="J61" s="504">
        <v>806311</v>
      </c>
      <c r="K61" s="168"/>
      <c r="L61" s="504">
        <v>794378</v>
      </c>
      <c r="M61" s="168"/>
      <c r="N61" s="503">
        <v>778221</v>
      </c>
      <c r="O61" s="124"/>
      <c r="P61" s="503">
        <v>878968</v>
      </c>
      <c r="Q61" s="124"/>
      <c r="R61" s="503">
        <v>880328</v>
      </c>
      <c r="S61" s="124"/>
      <c r="T61" s="503">
        <v>881014</v>
      </c>
      <c r="U61" s="124"/>
      <c r="V61" s="503">
        <v>872082</v>
      </c>
      <c r="W61" s="124"/>
      <c r="X61" s="503">
        <v>792731</v>
      </c>
      <c r="Y61" s="124"/>
      <c r="Z61" s="503">
        <v>793066</v>
      </c>
      <c r="AB61" s="636"/>
      <c r="AC61" s="631">
        <f t="shared" ref="AC61:AC63" si="14">AVERAGE(X61,V61,T61,R61,Z61)</f>
        <v>843844.2</v>
      </c>
    </row>
    <row r="62" spans="1:29" x14ac:dyDescent="0.2">
      <c r="A62" s="3"/>
      <c r="B62" s="404" t="s">
        <v>43</v>
      </c>
      <c r="C62" s="511"/>
      <c r="D62" s="505">
        <f>SUM(D59:D61)</f>
        <v>584475</v>
      </c>
      <c r="E62" s="506"/>
      <c r="F62" s="507">
        <f>SUM(F59:F61)</f>
        <v>1373543</v>
      </c>
      <c r="G62" s="508"/>
      <c r="H62" s="505">
        <f>SUM(H59:H61)</f>
        <v>1451098</v>
      </c>
      <c r="I62" s="509"/>
      <c r="J62" s="510">
        <f>SUM(J59:J61)</f>
        <v>1482681</v>
      </c>
      <c r="K62" s="508"/>
      <c r="L62" s="510">
        <f>SUM(L59:L61)</f>
        <v>1491863</v>
      </c>
      <c r="M62" s="508"/>
      <c r="N62" s="512">
        <f>SUM(N59:N61)</f>
        <v>1499052</v>
      </c>
      <c r="O62" s="509"/>
      <c r="P62" s="512">
        <f>SUM(P59:P61)</f>
        <v>1518320</v>
      </c>
      <c r="Q62" s="509"/>
      <c r="R62" s="512">
        <f>SUM(R59:R61)</f>
        <v>1531406</v>
      </c>
      <c r="S62" s="509"/>
      <c r="T62" s="512">
        <f>SUM(T59:T61)</f>
        <v>1552494</v>
      </c>
      <c r="U62" s="509"/>
      <c r="V62" s="512">
        <f>SUM(V59:V61)</f>
        <v>1575198</v>
      </c>
      <c r="W62" s="509"/>
      <c r="X62" s="512">
        <f>SUM(X59:X61)</f>
        <v>1589444</v>
      </c>
      <c r="Y62" s="509"/>
      <c r="Z62" s="512">
        <f>SUM(Z59:Z61)</f>
        <v>1616272</v>
      </c>
      <c r="AB62" s="614"/>
      <c r="AC62" s="680">
        <f t="shared" si="14"/>
        <v>1572962.8</v>
      </c>
    </row>
    <row r="63" spans="1:29" ht="13.5" thickBot="1" x14ac:dyDescent="0.25">
      <c r="A63" s="3"/>
      <c r="B63" s="405" t="s">
        <v>44</v>
      </c>
      <c r="C63" s="172"/>
      <c r="D63" s="505">
        <f>SUM(D57,D62)</f>
        <v>4486257</v>
      </c>
      <c r="E63" s="501"/>
      <c r="F63" s="507">
        <f>SUM(F57,F62)</f>
        <v>5140080</v>
      </c>
      <c r="G63" s="168"/>
      <c r="H63" s="512">
        <f>SUM(H57,H62)</f>
        <v>5327898</v>
      </c>
      <c r="I63" s="124"/>
      <c r="J63" s="510">
        <f>SUM(J57,J62)</f>
        <v>5503903</v>
      </c>
      <c r="K63" s="168"/>
      <c r="L63" s="510">
        <f>SUM(L57,L62)</f>
        <v>5946152</v>
      </c>
      <c r="M63" s="168"/>
      <c r="N63" s="512">
        <f>SUM(N57,N62)</f>
        <v>6103869</v>
      </c>
      <c r="O63" s="124"/>
      <c r="P63" s="512">
        <f>SUM(P57,P62)</f>
        <v>6105861</v>
      </c>
      <c r="Q63" s="124"/>
      <c r="R63" s="512">
        <f>SUM(R57,R62)</f>
        <v>6272906</v>
      </c>
      <c r="S63" s="124"/>
      <c r="T63" s="512">
        <f>SUM(T57,T62)</f>
        <v>6422214</v>
      </c>
      <c r="U63" s="124"/>
      <c r="V63" s="512">
        <f>SUM(V57,V62)</f>
        <v>6772401</v>
      </c>
      <c r="W63" s="124"/>
      <c r="X63" s="512">
        <f>SUM(X57,X62)</f>
        <v>6814229</v>
      </c>
      <c r="Y63" s="124"/>
      <c r="Z63" s="512">
        <f>SUM(Z57,Z62)</f>
        <v>7281808</v>
      </c>
      <c r="AB63" s="628"/>
      <c r="AC63" s="681">
        <f t="shared" si="14"/>
        <v>6712711.5999999996</v>
      </c>
    </row>
    <row r="64" spans="1:29" ht="12" x14ac:dyDescent="0.2">
      <c r="B64" s="406" t="s">
        <v>157</v>
      </c>
      <c r="C64" s="140"/>
      <c r="D64" s="141"/>
      <c r="E64" s="93"/>
      <c r="F64" s="93"/>
      <c r="G64" s="231"/>
      <c r="H64" s="316" t="s">
        <v>19</v>
      </c>
      <c r="I64" s="308"/>
      <c r="J64" s="308" t="s">
        <v>19</v>
      </c>
      <c r="K64" s="231"/>
      <c r="L64" s="308" t="s">
        <v>19</v>
      </c>
      <c r="M64" s="231"/>
      <c r="N64" s="316" t="s">
        <v>19</v>
      </c>
      <c r="O64" s="308"/>
      <c r="P64" s="316" t="s">
        <v>19</v>
      </c>
      <c r="Q64" s="308"/>
      <c r="R64" s="316" t="s">
        <v>19</v>
      </c>
      <c r="S64" s="308"/>
      <c r="T64" s="316" t="s">
        <v>19</v>
      </c>
      <c r="U64" s="308"/>
      <c r="V64" s="316" t="s">
        <v>19</v>
      </c>
      <c r="W64" s="308"/>
      <c r="X64" s="316" t="s">
        <v>19</v>
      </c>
      <c r="Y64" s="308"/>
      <c r="Z64" s="316" t="s">
        <v>19</v>
      </c>
      <c r="AB64" s="614"/>
      <c r="AC64" s="863"/>
    </row>
    <row r="65" spans="1:29" ht="12" x14ac:dyDescent="0.2">
      <c r="B65" s="48" t="s">
        <v>15</v>
      </c>
      <c r="C65" s="185"/>
      <c r="D65" s="143">
        <f>6225+1183376+1171036</f>
        <v>2360637</v>
      </c>
      <c r="E65" s="37"/>
      <c r="F65" s="37">
        <v>2566385</v>
      </c>
      <c r="G65" s="457"/>
      <c r="H65" s="456">
        <v>2750648.94</v>
      </c>
      <c r="I65" s="277"/>
      <c r="J65" s="277">
        <v>2896423.3</v>
      </c>
      <c r="K65" s="457"/>
      <c r="L65" s="277">
        <f>3079794+198106</f>
        <v>3277900</v>
      </c>
      <c r="M65" s="457"/>
      <c r="N65" s="394">
        <v>3436709</v>
      </c>
      <c r="O65" s="277"/>
      <c r="P65" s="931">
        <v>3490834</v>
      </c>
      <c r="Q65" s="932"/>
      <c r="R65" s="931">
        <v>3434117</v>
      </c>
      <c r="S65" s="932"/>
      <c r="T65" s="931">
        <v>3757212</v>
      </c>
      <c r="U65" s="932"/>
      <c r="V65" s="931">
        <v>3909431</v>
      </c>
      <c r="W65" s="932"/>
      <c r="X65" s="931">
        <v>4020879.63</v>
      </c>
      <c r="Y65" s="932"/>
      <c r="Z65" s="960"/>
      <c r="AB65" s="614"/>
      <c r="AC65" s="630">
        <f>AVERAGE(X65,V65,T65,R65,P65)</f>
        <v>3722494.7259999998</v>
      </c>
    </row>
    <row r="66" spans="1:29" ht="12" x14ac:dyDescent="0.2">
      <c r="B66" s="407" t="s">
        <v>16</v>
      </c>
      <c r="C66" s="186"/>
      <c r="D66" s="145">
        <f>72729+558090</f>
        <v>630819</v>
      </c>
      <c r="E66" s="38"/>
      <c r="F66" s="38">
        <f>168028+678820</f>
        <v>846848</v>
      </c>
      <c r="G66" s="294"/>
      <c r="H66" s="458">
        <f>93216+657208</f>
        <v>750424</v>
      </c>
      <c r="I66" s="373"/>
      <c r="J66" s="373">
        <f>89362+691292</f>
        <v>780654</v>
      </c>
      <c r="K66" s="294"/>
      <c r="L66" s="373">
        <f>41097+73969+665197+76986</f>
        <v>857249</v>
      </c>
      <c r="M66" s="294"/>
      <c r="N66" s="394">
        <f>239918+653961</f>
        <v>893879</v>
      </c>
      <c r="O66" s="373"/>
      <c r="P66" s="933">
        <f>13492+611521+18582+141459</f>
        <v>785054</v>
      </c>
      <c r="Q66" s="934"/>
      <c r="R66" s="933">
        <f>28015.56+614381.5+24723.33+82952.57+147.65</f>
        <v>750220.61</v>
      </c>
      <c r="S66" s="934"/>
      <c r="T66" s="933">
        <f>39302.2+630855.28+43196.27+1228.37+40138.67</f>
        <v>754720.79</v>
      </c>
      <c r="U66" s="934"/>
      <c r="V66" s="933">
        <v>909892</v>
      </c>
      <c r="W66" s="934"/>
      <c r="X66" s="933">
        <v>1131806.53</v>
      </c>
      <c r="Y66" s="934"/>
      <c r="Z66" s="961"/>
      <c r="AB66" s="636"/>
      <c r="AC66" s="634">
        <f>AVERAGE(X66,V66,T66,R66,P66)</f>
        <v>866338.78599999996</v>
      </c>
    </row>
    <row r="67" spans="1:29" ht="2.25" customHeight="1" thickBot="1" x14ac:dyDescent="0.25">
      <c r="B67" s="408"/>
      <c r="C67" s="146"/>
      <c r="D67" s="147"/>
      <c r="E67" s="60"/>
      <c r="F67" s="51"/>
      <c r="G67" s="234"/>
      <c r="H67" s="317"/>
      <c r="I67" s="295"/>
      <c r="J67" s="356"/>
      <c r="K67" s="234"/>
      <c r="L67" s="356"/>
      <c r="M67" s="234"/>
      <c r="N67" s="317"/>
      <c r="O67" s="295"/>
      <c r="P67" s="317"/>
      <c r="Q67" s="295"/>
      <c r="R67" s="317"/>
      <c r="S67" s="295"/>
      <c r="T67" s="317"/>
      <c r="U67" s="295"/>
      <c r="V67" s="317"/>
      <c r="W67" s="295"/>
      <c r="X67" s="317"/>
      <c r="Y67" s="295"/>
      <c r="Z67" s="317"/>
      <c r="AB67" s="653"/>
      <c r="AC67" s="672"/>
    </row>
    <row r="68" spans="1:29" ht="12" x14ac:dyDescent="0.2">
      <c r="B68" s="47"/>
      <c r="C68" s="148" t="s">
        <v>74</v>
      </c>
      <c r="D68" s="149" t="s">
        <v>80</v>
      </c>
      <c r="E68" s="73" t="s">
        <v>74</v>
      </c>
      <c r="F68" s="157" t="s">
        <v>80</v>
      </c>
      <c r="G68" s="253" t="s">
        <v>74</v>
      </c>
      <c r="H68" s="318" t="s">
        <v>80</v>
      </c>
      <c r="I68" s="225" t="s">
        <v>74</v>
      </c>
      <c r="J68" s="357" t="s">
        <v>80</v>
      </c>
      <c r="K68" s="253" t="s">
        <v>74</v>
      </c>
      <c r="L68" s="357" t="s">
        <v>80</v>
      </c>
      <c r="M68" s="253" t="s">
        <v>74</v>
      </c>
      <c r="N68" s="318" t="s">
        <v>80</v>
      </c>
      <c r="O68" s="225" t="s">
        <v>74</v>
      </c>
      <c r="P68" s="318" t="s">
        <v>80</v>
      </c>
      <c r="Q68" s="225" t="s">
        <v>74</v>
      </c>
      <c r="R68" s="318" t="s">
        <v>80</v>
      </c>
      <c r="S68" s="225" t="s">
        <v>74</v>
      </c>
      <c r="T68" s="318" t="s">
        <v>80</v>
      </c>
      <c r="U68" s="225" t="s">
        <v>74</v>
      </c>
      <c r="V68" s="318" t="s">
        <v>80</v>
      </c>
      <c r="W68" s="225" t="s">
        <v>74</v>
      </c>
      <c r="X68" s="318" t="s">
        <v>80</v>
      </c>
      <c r="Y68" s="225" t="s">
        <v>74</v>
      </c>
      <c r="Z68" s="318" t="s">
        <v>80</v>
      </c>
      <c r="AB68" s="661" t="s">
        <v>74</v>
      </c>
      <c r="AC68" s="669" t="s">
        <v>80</v>
      </c>
    </row>
    <row r="69" spans="1:29" ht="11.45" customHeight="1" x14ac:dyDescent="0.2">
      <c r="B69" s="54" t="s">
        <v>35</v>
      </c>
      <c r="C69" s="423">
        <v>40</v>
      </c>
      <c r="D69" s="388">
        <v>2876665</v>
      </c>
      <c r="E69" s="687">
        <v>31</v>
      </c>
      <c r="F69" s="391">
        <v>1826291</v>
      </c>
      <c r="G69" s="689">
        <v>18</v>
      </c>
      <c r="H69" s="394">
        <v>508842</v>
      </c>
      <c r="I69" s="691">
        <v>15</v>
      </c>
      <c r="J69" s="396">
        <v>5869231</v>
      </c>
      <c r="K69" s="689">
        <v>21</v>
      </c>
      <c r="L69" s="396">
        <v>1950533</v>
      </c>
      <c r="M69" s="689">
        <v>19</v>
      </c>
      <c r="N69" s="805">
        <v>3984671</v>
      </c>
      <c r="O69" s="689">
        <v>17</v>
      </c>
      <c r="P69" s="805">
        <v>14614649</v>
      </c>
      <c r="Q69" s="689">
        <v>23</v>
      </c>
      <c r="R69" s="805">
        <v>10898646</v>
      </c>
      <c r="S69" s="689">
        <v>15</v>
      </c>
      <c r="T69" s="805">
        <v>13193704</v>
      </c>
      <c r="U69" s="689">
        <v>20</v>
      </c>
      <c r="V69" s="805">
        <v>3940773</v>
      </c>
      <c r="W69" s="689">
        <v>21</v>
      </c>
      <c r="X69" s="805">
        <v>4007128</v>
      </c>
      <c r="Y69" s="962"/>
      <c r="Z69" s="963"/>
      <c r="AB69" s="656">
        <f t="shared" ref="AB69:AB70" si="15">AVERAGE(W69,U69,S69,Q69,Y69)</f>
        <v>19.75</v>
      </c>
      <c r="AC69" s="657">
        <f t="shared" ref="AC69:AC70" si="16">AVERAGE(X69,V69,T69,R69,Z69)</f>
        <v>8010062.75</v>
      </c>
    </row>
    <row r="70" spans="1:29" thickBot="1" x14ac:dyDescent="0.25">
      <c r="B70" s="409" t="s">
        <v>17</v>
      </c>
      <c r="C70" s="425">
        <v>26</v>
      </c>
      <c r="D70" s="390">
        <v>3214405</v>
      </c>
      <c r="E70" s="702">
        <v>21</v>
      </c>
      <c r="F70" s="393">
        <v>3675615.12</v>
      </c>
      <c r="G70" s="704">
        <v>25</v>
      </c>
      <c r="H70" s="399">
        <v>6790615</v>
      </c>
      <c r="I70" s="706">
        <v>22</v>
      </c>
      <c r="J70" s="398">
        <v>3050854</v>
      </c>
      <c r="K70" s="704">
        <v>25</v>
      </c>
      <c r="L70" s="398">
        <v>17840655</v>
      </c>
      <c r="M70" s="704">
        <v>16</v>
      </c>
      <c r="N70" s="399">
        <v>16866207</v>
      </c>
      <c r="O70" s="704">
        <v>14</v>
      </c>
      <c r="P70" s="399">
        <v>14709030</v>
      </c>
      <c r="Q70" s="704">
        <v>16</v>
      </c>
      <c r="R70" s="399">
        <v>11156617</v>
      </c>
      <c r="S70" s="704">
        <v>16</v>
      </c>
      <c r="T70" s="399">
        <v>15630852</v>
      </c>
      <c r="U70" s="704">
        <v>17</v>
      </c>
      <c r="V70" s="399">
        <v>6524106</v>
      </c>
      <c r="W70" s="704">
        <v>18</v>
      </c>
      <c r="X70" s="399">
        <v>7537520</v>
      </c>
      <c r="Y70" s="964"/>
      <c r="Z70" s="965"/>
      <c r="AB70" s="659">
        <f t="shared" si="15"/>
        <v>16.75</v>
      </c>
      <c r="AC70" s="660">
        <f t="shared" si="16"/>
        <v>10212273.75</v>
      </c>
    </row>
    <row r="71" spans="1:29" ht="12" x14ac:dyDescent="0.2">
      <c r="B71" s="406" t="s">
        <v>50</v>
      </c>
      <c r="C71" s="482"/>
      <c r="D71" s="159"/>
      <c r="E71" s="106"/>
      <c r="F71" s="483"/>
      <c r="G71" s="484"/>
      <c r="H71" s="485"/>
      <c r="I71" s="486"/>
      <c r="J71" s="487"/>
      <c r="K71" s="254"/>
      <c r="L71" s="358"/>
      <c r="M71" s="254"/>
      <c r="N71" s="319"/>
      <c r="O71" s="311"/>
      <c r="P71" s="319"/>
      <c r="Q71" s="311"/>
      <c r="R71" s="319"/>
      <c r="S71" s="311"/>
      <c r="T71" s="319"/>
      <c r="U71" s="311"/>
      <c r="V71" s="319"/>
      <c r="W71" s="311"/>
      <c r="X71" s="319"/>
      <c r="Y71" s="311"/>
      <c r="Z71" s="319"/>
      <c r="AB71" s="523"/>
      <c r="AC71" s="272"/>
    </row>
    <row r="72" spans="1:29" ht="12" x14ac:dyDescent="0.2">
      <c r="B72" s="411" t="s">
        <v>84</v>
      </c>
      <c r="C72" s="185"/>
      <c r="D72" s="244">
        <v>69418.39</v>
      </c>
      <c r="E72" s="37"/>
      <c r="F72" s="245">
        <v>65783.34</v>
      </c>
      <c r="G72" s="457"/>
      <c r="H72" s="488">
        <v>76366.600000000006</v>
      </c>
      <c r="I72" s="489"/>
      <c r="J72" s="490">
        <v>70148.02</v>
      </c>
      <c r="K72" s="465"/>
      <c r="L72" s="518">
        <v>255931.49</v>
      </c>
      <c r="M72" s="465"/>
      <c r="N72" s="798">
        <v>130433</v>
      </c>
      <c r="O72" s="464"/>
      <c r="P72" s="798">
        <v>56451</v>
      </c>
      <c r="Q72" s="464"/>
      <c r="R72" s="798">
        <v>98500.19</v>
      </c>
      <c r="S72" s="464"/>
      <c r="T72" s="798">
        <v>89333.8</v>
      </c>
      <c r="U72" s="464"/>
      <c r="V72" s="798">
        <v>43716.51</v>
      </c>
      <c r="W72" s="464"/>
      <c r="X72" s="798">
        <v>136122.89000000001</v>
      </c>
      <c r="Y72" s="464"/>
      <c r="Z72" s="955"/>
      <c r="AB72" s="614"/>
      <c r="AC72" s="630">
        <f t="shared" ref="AC72:AC73" si="17">AVERAGE(X72,V72,T72,R72,P72)</f>
        <v>84824.877999999997</v>
      </c>
    </row>
    <row r="73" spans="1:29" thickBot="1" x14ac:dyDescent="0.25">
      <c r="B73" s="412" t="s">
        <v>168</v>
      </c>
      <c r="C73" s="491"/>
      <c r="D73" s="162">
        <v>178351.87</v>
      </c>
      <c r="E73" s="39"/>
      <c r="F73" s="220">
        <v>192766.89</v>
      </c>
      <c r="G73" s="492"/>
      <c r="H73" s="471">
        <v>317405.98</v>
      </c>
      <c r="I73" s="493"/>
      <c r="J73" s="494">
        <v>370766.94</v>
      </c>
      <c r="K73" s="472"/>
      <c r="L73" s="519">
        <v>351060.86</v>
      </c>
      <c r="M73" s="472"/>
      <c r="N73" s="804">
        <v>266197.40000000002</v>
      </c>
      <c r="O73" s="803"/>
      <c r="P73" s="804">
        <v>278372</v>
      </c>
      <c r="Q73" s="803"/>
      <c r="R73" s="804">
        <v>314387.77</v>
      </c>
      <c r="S73" s="803"/>
      <c r="T73" s="804">
        <v>295534.81</v>
      </c>
      <c r="U73" s="803"/>
      <c r="V73" s="804">
        <v>293523.8</v>
      </c>
      <c r="W73" s="803"/>
      <c r="X73" s="804">
        <v>335878.58</v>
      </c>
      <c r="Y73" s="803"/>
      <c r="Z73" s="966"/>
      <c r="AB73" s="575"/>
      <c r="AC73" s="635">
        <f t="shared" si="17"/>
        <v>303539.39199999999</v>
      </c>
    </row>
    <row r="74" spans="1:29" thickTop="1" x14ac:dyDescent="0.2">
      <c r="B74" s="70"/>
      <c r="C74" s="71"/>
      <c r="D74" s="72"/>
      <c r="E74" s="71"/>
      <c r="F74" s="73"/>
      <c r="G74" s="224"/>
      <c r="H74" s="225"/>
      <c r="I74" s="224"/>
      <c r="J74" s="225"/>
      <c r="K74" s="224"/>
      <c r="L74" s="225"/>
      <c r="M74" s="224"/>
      <c r="N74" s="225"/>
      <c r="O74" s="224"/>
      <c r="P74" s="225"/>
      <c r="Q74" s="224"/>
      <c r="R74" s="225"/>
      <c r="S74" s="224"/>
      <c r="T74" s="225"/>
      <c r="U74" s="224"/>
      <c r="V74" s="225"/>
      <c r="W74" s="224"/>
      <c r="X74" s="225"/>
      <c r="Y74" s="224"/>
      <c r="Z74" s="225"/>
    </row>
    <row r="75" spans="1:29" x14ac:dyDescent="0.2">
      <c r="A75" s="3" t="s">
        <v>46</v>
      </c>
      <c r="B75" s="70"/>
      <c r="C75" s="71"/>
      <c r="D75" s="72"/>
      <c r="E75" s="71"/>
      <c r="F75" s="73"/>
      <c r="G75" s="224"/>
      <c r="H75" s="225"/>
      <c r="I75" s="224"/>
      <c r="J75" s="225"/>
      <c r="K75" s="224"/>
      <c r="L75" s="225"/>
      <c r="M75" s="224"/>
      <c r="N75" s="225"/>
      <c r="O75" s="224"/>
      <c r="P75" s="225"/>
      <c r="Q75" s="224"/>
      <c r="R75" s="225"/>
      <c r="S75" s="224"/>
      <c r="T75" s="225"/>
      <c r="U75" s="224"/>
      <c r="V75" s="225"/>
      <c r="W75" s="224"/>
      <c r="X75" s="225"/>
      <c r="Y75" s="224"/>
      <c r="Z75" s="225"/>
    </row>
    <row r="76" spans="1:29" thickBot="1" x14ac:dyDescent="0.25">
      <c r="B76" s="70"/>
      <c r="C76" s="71"/>
      <c r="D76" s="72"/>
      <c r="E76" s="71"/>
      <c r="F76" s="73"/>
      <c r="G76" s="224"/>
      <c r="H76" s="225"/>
      <c r="I76" s="224"/>
      <c r="J76" s="225"/>
      <c r="K76" s="224"/>
      <c r="L76" s="225"/>
      <c r="M76" s="224"/>
      <c r="N76" s="225"/>
      <c r="O76" s="224"/>
      <c r="P76" s="225"/>
      <c r="Q76" s="224"/>
      <c r="R76" s="225"/>
      <c r="S76" s="224"/>
      <c r="T76" s="225"/>
      <c r="U76" s="224"/>
      <c r="V76" s="225"/>
      <c r="W76" s="224"/>
      <c r="X76" s="225"/>
      <c r="Y76" s="224"/>
      <c r="Z76" s="225"/>
    </row>
    <row r="77" spans="1:29" ht="14.25" customHeight="1" thickTop="1" thickBot="1" x14ac:dyDescent="0.25">
      <c r="B77" s="415"/>
      <c r="C77" s="1292" t="s">
        <v>27</v>
      </c>
      <c r="D77" s="1293"/>
      <c r="E77" s="1292" t="s">
        <v>28</v>
      </c>
      <c r="F77" s="1294"/>
      <c r="G77" s="1286" t="s">
        <v>83</v>
      </c>
      <c r="H77" s="1255"/>
      <c r="I77" s="1286" t="s">
        <v>93</v>
      </c>
      <c r="J77" s="1254"/>
      <c r="K77" s="1286" t="s">
        <v>94</v>
      </c>
      <c r="L77" s="1254"/>
      <c r="M77" s="1286" t="s">
        <v>100</v>
      </c>
      <c r="N77" s="1255"/>
      <c r="O77" s="1254" t="s">
        <v>143</v>
      </c>
      <c r="P77" s="1255"/>
      <c r="Q77" s="1254" t="s">
        <v>149</v>
      </c>
      <c r="R77" s="1255"/>
      <c r="S77" s="1254" t="s">
        <v>167</v>
      </c>
      <c r="T77" s="1255"/>
      <c r="U77" s="1254" t="s">
        <v>181</v>
      </c>
      <c r="V77" s="1255"/>
      <c r="W77" s="1254" t="s">
        <v>194</v>
      </c>
      <c r="X77" s="1255"/>
      <c r="Y77" s="1254" t="s">
        <v>203</v>
      </c>
      <c r="Z77" s="1255"/>
      <c r="AB77" s="1259" t="s">
        <v>133</v>
      </c>
      <c r="AC77" s="1268"/>
    </row>
    <row r="78" spans="1:29" ht="12" x14ac:dyDescent="0.2">
      <c r="B78" s="44" t="s">
        <v>31</v>
      </c>
      <c r="C78" s="129"/>
      <c r="D78" s="130"/>
      <c r="E78" s="31"/>
      <c r="F78" s="31"/>
      <c r="G78" s="229"/>
      <c r="H78" s="326"/>
      <c r="I78" s="301"/>
      <c r="J78" s="301"/>
      <c r="K78" s="229"/>
      <c r="L78" s="301"/>
      <c r="M78" s="229"/>
      <c r="N78" s="326"/>
      <c r="O78" s="301"/>
      <c r="P78" s="326"/>
      <c r="Q78" s="301"/>
      <c r="R78" s="326"/>
      <c r="S78" s="301"/>
      <c r="T78" s="326"/>
      <c r="U78" s="301"/>
      <c r="V78" s="326"/>
      <c r="W78" s="301"/>
      <c r="X78" s="326"/>
      <c r="Y78" s="301"/>
      <c r="Z78" s="326"/>
      <c r="AB78" s="523"/>
      <c r="AC78" s="272"/>
    </row>
    <row r="79" spans="1:29" ht="12" x14ac:dyDescent="0.2">
      <c r="B79" s="416" t="s">
        <v>32</v>
      </c>
      <c r="C79" s="131"/>
      <c r="D79" s="164"/>
      <c r="E79" s="32"/>
      <c r="F79" s="52"/>
      <c r="G79" s="209"/>
      <c r="H79" s="305"/>
      <c r="I79" s="284"/>
      <c r="J79" s="101"/>
      <c r="K79" s="209"/>
      <c r="L79" s="101"/>
      <c r="M79" s="209"/>
      <c r="N79" s="305"/>
      <c r="O79" s="284"/>
      <c r="P79" s="305"/>
      <c r="Q79" s="284"/>
      <c r="R79" s="305"/>
      <c r="S79" s="284"/>
      <c r="T79" s="305"/>
      <c r="U79" s="284"/>
      <c r="V79" s="305"/>
      <c r="W79" s="284"/>
      <c r="X79" s="305"/>
      <c r="Y79" s="284"/>
      <c r="Z79" s="305"/>
      <c r="AB79" s="523"/>
      <c r="AC79" s="272"/>
    </row>
    <row r="80" spans="1:29" ht="12" x14ac:dyDescent="0.2">
      <c r="B80" s="45" t="s">
        <v>33</v>
      </c>
      <c r="C80" s="131"/>
      <c r="D80" s="164">
        <v>26</v>
      </c>
      <c r="E80" s="32"/>
      <c r="F80" s="52">
        <v>27</v>
      </c>
      <c r="G80" s="209"/>
      <c r="H80" s="305">
        <v>26</v>
      </c>
      <c r="I80" s="284"/>
      <c r="J80" s="101">
        <v>25</v>
      </c>
      <c r="K80" s="209"/>
      <c r="L80" s="101">
        <v>27</v>
      </c>
      <c r="M80" s="209"/>
      <c r="N80" s="305">
        <v>27</v>
      </c>
      <c r="O80" s="284"/>
      <c r="P80" s="305">
        <v>30</v>
      </c>
      <c r="Q80" s="284"/>
      <c r="R80" s="305">
        <v>29</v>
      </c>
      <c r="S80" s="284"/>
      <c r="T80" s="305">
        <v>33</v>
      </c>
      <c r="U80" s="284"/>
      <c r="V80" s="305">
        <v>33</v>
      </c>
      <c r="W80" s="284"/>
      <c r="X80" s="305">
        <v>33</v>
      </c>
      <c r="Y80" s="284"/>
      <c r="Z80" s="305">
        <v>35</v>
      </c>
      <c r="AB80" s="636"/>
      <c r="AC80" s="626">
        <f t="shared" ref="AC80:AC81" si="18">AVERAGE(X80,V80,T80,R80,Z80)</f>
        <v>32.6</v>
      </c>
    </row>
    <row r="81" spans="2:29" ht="12" x14ac:dyDescent="0.2">
      <c r="B81" s="45" t="s">
        <v>103</v>
      </c>
      <c r="C81" s="131"/>
      <c r="D81" s="164">
        <v>5</v>
      </c>
      <c r="E81" s="32"/>
      <c r="F81" s="52">
        <v>7</v>
      </c>
      <c r="G81" s="209"/>
      <c r="H81" s="305">
        <v>3</v>
      </c>
      <c r="I81" s="284"/>
      <c r="J81" s="101">
        <v>10</v>
      </c>
      <c r="K81" s="209"/>
      <c r="L81" s="101">
        <v>8</v>
      </c>
      <c r="M81" s="209"/>
      <c r="N81" s="305">
        <v>5</v>
      </c>
      <c r="O81" s="284"/>
      <c r="P81" s="305">
        <v>6</v>
      </c>
      <c r="Q81" s="284"/>
      <c r="R81" s="305">
        <v>6</v>
      </c>
      <c r="S81" s="284"/>
      <c r="T81" s="305">
        <v>7</v>
      </c>
      <c r="U81" s="284"/>
      <c r="V81" s="305">
        <v>10</v>
      </c>
      <c r="W81" s="284"/>
      <c r="X81" s="305">
        <v>8</v>
      </c>
      <c r="Y81" s="284"/>
      <c r="Z81" s="305">
        <v>12</v>
      </c>
      <c r="AB81" s="636"/>
      <c r="AC81" s="626">
        <f t="shared" si="18"/>
        <v>8.6</v>
      </c>
    </row>
    <row r="82" spans="2:29" ht="12" x14ac:dyDescent="0.2">
      <c r="B82" s="416" t="s">
        <v>34</v>
      </c>
      <c r="C82" s="131"/>
      <c r="D82" s="133"/>
      <c r="E82" s="32"/>
      <c r="F82" s="33"/>
      <c r="G82" s="209"/>
      <c r="H82" s="212"/>
      <c r="I82" s="284"/>
      <c r="J82" s="211"/>
      <c r="K82" s="209"/>
      <c r="L82" s="211"/>
      <c r="M82" s="209"/>
      <c r="N82" s="212"/>
      <c r="O82" s="284"/>
      <c r="P82" s="212"/>
      <c r="Q82" s="284"/>
      <c r="R82" s="212"/>
      <c r="S82" s="284"/>
      <c r="T82" s="212"/>
      <c r="U82" s="284"/>
      <c r="V82" s="212"/>
      <c r="W82" s="284"/>
      <c r="X82" s="212"/>
      <c r="Y82" s="284"/>
      <c r="Z82" s="212"/>
      <c r="AB82" s="622"/>
      <c r="AC82" s="613"/>
    </row>
    <row r="83" spans="2:29" ht="12" x14ac:dyDescent="0.2">
      <c r="B83" s="45" t="s">
        <v>33</v>
      </c>
      <c r="C83" s="131"/>
      <c r="D83" s="133">
        <v>7</v>
      </c>
      <c r="E83" s="32"/>
      <c r="F83" s="33">
        <v>8</v>
      </c>
      <c r="G83" s="209"/>
      <c r="H83" s="212">
        <v>9</v>
      </c>
      <c r="I83" s="284"/>
      <c r="J83" s="211">
        <v>7</v>
      </c>
      <c r="K83" s="209"/>
      <c r="L83" s="211">
        <v>9</v>
      </c>
      <c r="M83" s="209"/>
      <c r="N83" s="212">
        <v>8</v>
      </c>
      <c r="O83" s="284"/>
      <c r="P83" s="212">
        <v>8</v>
      </c>
      <c r="Q83" s="284"/>
      <c r="R83" s="212">
        <v>8</v>
      </c>
      <c r="S83" s="284"/>
      <c r="T83" s="212">
        <v>7</v>
      </c>
      <c r="U83" s="284"/>
      <c r="V83" s="212">
        <v>6</v>
      </c>
      <c r="W83" s="284"/>
      <c r="X83" s="212">
        <v>8</v>
      </c>
      <c r="Y83" s="284"/>
      <c r="Z83" s="212">
        <v>7</v>
      </c>
      <c r="AB83" s="636"/>
      <c r="AC83" s="626">
        <f t="shared" ref="AC83:AC85" si="19">AVERAGE(X83,V83,T83,R83,Z83)</f>
        <v>7.2</v>
      </c>
    </row>
    <row r="84" spans="2:29" ht="12" x14ac:dyDescent="0.2">
      <c r="B84" s="417" t="s">
        <v>103</v>
      </c>
      <c r="C84" s="131"/>
      <c r="D84" s="133">
        <v>1</v>
      </c>
      <c r="E84" s="32"/>
      <c r="F84" s="33">
        <v>1</v>
      </c>
      <c r="G84" s="209"/>
      <c r="H84" s="212">
        <v>3</v>
      </c>
      <c r="I84" s="284"/>
      <c r="J84" s="211">
        <v>2</v>
      </c>
      <c r="K84" s="209"/>
      <c r="L84" s="211">
        <v>1</v>
      </c>
      <c r="M84" s="209"/>
      <c r="N84" s="212">
        <v>2</v>
      </c>
      <c r="O84" s="284"/>
      <c r="P84" s="212">
        <v>1</v>
      </c>
      <c r="Q84" s="284"/>
      <c r="R84" s="212">
        <v>3</v>
      </c>
      <c r="S84" s="284"/>
      <c r="T84" s="212">
        <v>4</v>
      </c>
      <c r="U84" s="284"/>
      <c r="V84" s="212">
        <v>4</v>
      </c>
      <c r="W84" s="284"/>
      <c r="X84" s="212">
        <v>3</v>
      </c>
      <c r="Y84" s="284"/>
      <c r="Z84" s="212">
        <v>1</v>
      </c>
      <c r="AB84" s="636"/>
      <c r="AC84" s="626">
        <f t="shared" si="19"/>
        <v>3</v>
      </c>
    </row>
    <row r="85" spans="2:29" thickBot="1" x14ac:dyDescent="0.25">
      <c r="B85" s="49" t="s">
        <v>14</v>
      </c>
      <c r="C85" s="165"/>
      <c r="D85" s="135">
        <f>SUM(D80:D84)</f>
        <v>39</v>
      </c>
      <c r="E85" s="79"/>
      <c r="F85" s="56">
        <f>SUM(F80:F84)</f>
        <v>43</v>
      </c>
      <c r="G85" s="260"/>
      <c r="H85" s="306">
        <v>41</v>
      </c>
      <c r="I85" s="339"/>
      <c r="J85" s="364">
        <f>SUM(J80:J84)</f>
        <v>44</v>
      </c>
      <c r="K85" s="260"/>
      <c r="L85" s="364">
        <f>SUM(L80:L84)</f>
        <v>45</v>
      </c>
      <c r="M85" s="260"/>
      <c r="N85" s="306">
        <f>SUM(N80:N84)</f>
        <v>42</v>
      </c>
      <c r="O85" s="339"/>
      <c r="P85" s="306">
        <f>SUM(P80:P84)</f>
        <v>45</v>
      </c>
      <c r="Q85" s="339"/>
      <c r="R85" s="306">
        <f>SUM(R80:R84)</f>
        <v>46</v>
      </c>
      <c r="S85" s="339"/>
      <c r="T85" s="306">
        <f>SUM(T80:T84)</f>
        <v>51</v>
      </c>
      <c r="U85" s="339"/>
      <c r="V85" s="306">
        <f>SUM(V80:V84)</f>
        <v>53</v>
      </c>
      <c r="W85" s="339"/>
      <c r="X85" s="306">
        <f>SUM(X80:X84)</f>
        <v>52</v>
      </c>
      <c r="Y85" s="339"/>
      <c r="Z85" s="306">
        <f>SUM(Z80:Z84)</f>
        <v>55</v>
      </c>
      <c r="AB85" s="615"/>
      <c r="AC85" s="616">
        <f t="shared" si="19"/>
        <v>51.4</v>
      </c>
    </row>
    <row r="86" spans="2:29" thickTop="1" x14ac:dyDescent="0.2">
      <c r="B86" s="418" t="s">
        <v>76</v>
      </c>
      <c r="C86" s="166"/>
      <c r="D86" s="167"/>
      <c r="E86" s="123"/>
      <c r="F86" s="163"/>
      <c r="G86" s="248" t="s">
        <v>74</v>
      </c>
      <c r="H86" s="328" t="s">
        <v>75</v>
      </c>
      <c r="I86" s="248" t="s">
        <v>74</v>
      </c>
      <c r="J86" s="328" t="s">
        <v>75</v>
      </c>
      <c r="K86" s="248" t="s">
        <v>74</v>
      </c>
      <c r="L86" s="328" t="s">
        <v>75</v>
      </c>
      <c r="M86" s="248" t="s">
        <v>74</v>
      </c>
      <c r="N86" s="328" t="s">
        <v>75</v>
      </c>
      <c r="O86" s="248" t="s">
        <v>74</v>
      </c>
      <c r="P86" s="328" t="s">
        <v>75</v>
      </c>
      <c r="Q86" s="248" t="s">
        <v>74</v>
      </c>
      <c r="R86" s="328" t="s">
        <v>75</v>
      </c>
      <c r="S86" s="248" t="s">
        <v>74</v>
      </c>
      <c r="T86" s="328" t="s">
        <v>75</v>
      </c>
      <c r="U86" s="248" t="s">
        <v>74</v>
      </c>
      <c r="V86" s="328" t="s">
        <v>75</v>
      </c>
      <c r="W86" s="248" t="s">
        <v>74</v>
      </c>
      <c r="X86" s="328" t="s">
        <v>75</v>
      </c>
      <c r="Y86" s="248" t="s">
        <v>74</v>
      </c>
      <c r="Z86" s="328" t="s">
        <v>75</v>
      </c>
      <c r="AB86" s="617" t="s">
        <v>74</v>
      </c>
      <c r="AC86" s="612" t="s">
        <v>75</v>
      </c>
    </row>
    <row r="87" spans="2:29" ht="12" x14ac:dyDescent="0.2">
      <c r="B87" s="45" t="s">
        <v>57</v>
      </c>
      <c r="C87" s="168">
        <v>37</v>
      </c>
      <c r="D87" s="169">
        <f>C87/D$85</f>
        <v>0.94871794871794868</v>
      </c>
      <c r="E87" s="124">
        <f>33+8</f>
        <v>41</v>
      </c>
      <c r="F87" s="176">
        <f t="shared" ref="F87:F94" si="20">E87/F$85</f>
        <v>0.95348837209302328</v>
      </c>
      <c r="G87" s="168">
        <v>39</v>
      </c>
      <c r="H87" s="329">
        <f t="shared" ref="H87:J94" si="21">G87/H$85</f>
        <v>0.95121951219512191</v>
      </c>
      <c r="I87" s="124">
        <v>41</v>
      </c>
      <c r="J87" s="176">
        <f t="shared" si="21"/>
        <v>0.93181818181818177</v>
      </c>
      <c r="K87" s="168">
        <v>42</v>
      </c>
      <c r="L87" s="176">
        <f t="shared" ref="L87:N94" si="22">K87/L$85</f>
        <v>0.93333333333333335</v>
      </c>
      <c r="M87" s="168">
        <v>39</v>
      </c>
      <c r="N87" s="329">
        <f t="shared" si="22"/>
        <v>0.9285714285714286</v>
      </c>
      <c r="O87" s="124">
        <v>42</v>
      </c>
      <c r="P87" s="329">
        <f t="shared" ref="P87:P94" si="23">O87/P$85</f>
        <v>0.93333333333333335</v>
      </c>
      <c r="Q87" s="124">
        <v>42</v>
      </c>
      <c r="R87" s="329">
        <f t="shared" ref="R87:T94" si="24">Q87/R$85</f>
        <v>0.91304347826086951</v>
      </c>
      <c r="S87" s="124">
        <f>10+37</f>
        <v>47</v>
      </c>
      <c r="T87" s="329">
        <f t="shared" si="24"/>
        <v>0.92156862745098034</v>
      </c>
      <c r="U87" s="124">
        <v>50</v>
      </c>
      <c r="V87" s="329">
        <f t="shared" ref="V87:V94" si="25">U87/V$85</f>
        <v>0.94339622641509435</v>
      </c>
      <c r="W87" s="124">
        <v>48</v>
      </c>
      <c r="X87" s="329">
        <f t="shared" ref="X87:X94" si="26">W87/X$85</f>
        <v>0.92307692307692313</v>
      </c>
      <c r="Y87" s="124">
        <v>52</v>
      </c>
      <c r="Z87" s="329">
        <f t="shared" ref="Z87:Z94" si="27">Y87/Z$85</f>
        <v>0.94545454545454544</v>
      </c>
      <c r="AB87" s="662">
        <f t="shared" ref="AB87:AB94" si="28">AVERAGE(W87,U87,S87,Q87,Y87)</f>
        <v>47.8</v>
      </c>
      <c r="AC87" s="665">
        <f t="shared" ref="AC87:AC94" si="29">AVERAGE(X87,V87,T87,R87,Z87)</f>
        <v>0.9293079601316826</v>
      </c>
    </row>
    <row r="88" spans="2:29" ht="12" x14ac:dyDescent="0.2">
      <c r="B88" s="94" t="s">
        <v>58</v>
      </c>
      <c r="C88" s="168">
        <v>1</v>
      </c>
      <c r="D88" s="169">
        <f t="shared" ref="D88:D106" si="30">C88/$D$85</f>
        <v>2.564102564102564E-2</v>
      </c>
      <c r="E88" s="124">
        <v>1</v>
      </c>
      <c r="F88" s="176">
        <f t="shared" si="20"/>
        <v>2.3255813953488372E-2</v>
      </c>
      <c r="G88" s="168">
        <v>1</v>
      </c>
      <c r="H88" s="329">
        <f t="shared" si="21"/>
        <v>2.4390243902439025E-2</v>
      </c>
      <c r="I88" s="124">
        <v>1</v>
      </c>
      <c r="J88" s="176">
        <f t="shared" si="21"/>
        <v>2.2727272727272728E-2</v>
      </c>
      <c r="K88" s="168">
        <v>1</v>
      </c>
      <c r="L88" s="176">
        <f t="shared" si="22"/>
        <v>2.2222222222222223E-2</v>
      </c>
      <c r="M88" s="168">
        <v>1</v>
      </c>
      <c r="N88" s="329">
        <f t="shared" si="22"/>
        <v>2.3809523809523808E-2</v>
      </c>
      <c r="O88" s="124">
        <v>1</v>
      </c>
      <c r="P88" s="329">
        <f t="shared" si="23"/>
        <v>2.2222222222222223E-2</v>
      </c>
      <c r="Q88" s="124">
        <v>1</v>
      </c>
      <c r="R88" s="329">
        <f t="shared" si="24"/>
        <v>2.1739130434782608E-2</v>
      </c>
      <c r="S88" s="124">
        <f>1</f>
        <v>1</v>
      </c>
      <c r="T88" s="329">
        <f t="shared" si="24"/>
        <v>1.9607843137254902E-2</v>
      </c>
      <c r="U88" s="124">
        <v>1</v>
      </c>
      <c r="V88" s="329">
        <f t="shared" si="25"/>
        <v>1.8867924528301886E-2</v>
      </c>
      <c r="W88" s="124">
        <v>1</v>
      </c>
      <c r="X88" s="329">
        <f t="shared" si="26"/>
        <v>1.9230769230769232E-2</v>
      </c>
      <c r="Y88" s="124">
        <v>0</v>
      </c>
      <c r="Z88" s="329">
        <f t="shared" si="27"/>
        <v>0</v>
      </c>
      <c r="AB88" s="662">
        <f t="shared" si="28"/>
        <v>0.8</v>
      </c>
      <c r="AC88" s="665">
        <f t="shared" si="29"/>
        <v>1.5889133466221724E-2</v>
      </c>
    </row>
    <row r="89" spans="2:29" ht="12" x14ac:dyDescent="0.2">
      <c r="B89" s="94" t="s">
        <v>59</v>
      </c>
      <c r="C89" s="168">
        <v>1</v>
      </c>
      <c r="D89" s="169">
        <f t="shared" si="30"/>
        <v>2.564102564102564E-2</v>
      </c>
      <c r="E89" s="124">
        <v>1</v>
      </c>
      <c r="F89" s="176">
        <f t="shared" si="20"/>
        <v>2.3255813953488372E-2</v>
      </c>
      <c r="G89" s="168">
        <v>1</v>
      </c>
      <c r="H89" s="329">
        <f t="shared" si="21"/>
        <v>2.4390243902439025E-2</v>
      </c>
      <c r="I89" s="124">
        <v>1</v>
      </c>
      <c r="J89" s="176">
        <f t="shared" si="21"/>
        <v>2.2727272727272728E-2</v>
      </c>
      <c r="K89" s="168">
        <v>1</v>
      </c>
      <c r="L89" s="176">
        <f t="shared" si="22"/>
        <v>2.2222222222222223E-2</v>
      </c>
      <c r="M89" s="168">
        <v>1</v>
      </c>
      <c r="N89" s="329">
        <f t="shared" si="22"/>
        <v>2.3809523809523808E-2</v>
      </c>
      <c r="O89" s="124">
        <v>1</v>
      </c>
      <c r="P89" s="329">
        <f t="shared" si="23"/>
        <v>2.2222222222222223E-2</v>
      </c>
      <c r="Q89" s="124">
        <v>1</v>
      </c>
      <c r="R89" s="329">
        <f t="shared" si="24"/>
        <v>2.1739130434782608E-2</v>
      </c>
      <c r="S89" s="124">
        <f>1</f>
        <v>1</v>
      </c>
      <c r="T89" s="329">
        <f t="shared" si="24"/>
        <v>1.9607843137254902E-2</v>
      </c>
      <c r="U89" s="124">
        <v>1</v>
      </c>
      <c r="V89" s="329">
        <f t="shared" si="25"/>
        <v>1.8867924528301886E-2</v>
      </c>
      <c r="W89" s="124">
        <v>1</v>
      </c>
      <c r="X89" s="329">
        <f t="shared" si="26"/>
        <v>1.9230769230769232E-2</v>
      </c>
      <c r="Y89" s="124">
        <v>2</v>
      </c>
      <c r="Z89" s="329">
        <f t="shared" si="27"/>
        <v>3.6363636363636362E-2</v>
      </c>
      <c r="AB89" s="662">
        <f t="shared" si="28"/>
        <v>1.2</v>
      </c>
      <c r="AC89" s="665">
        <f t="shared" si="29"/>
        <v>2.3161860738948999E-2</v>
      </c>
    </row>
    <row r="90" spans="2:29" ht="12" x14ac:dyDescent="0.2">
      <c r="B90" s="94" t="s">
        <v>60</v>
      </c>
      <c r="C90" s="168">
        <v>0</v>
      </c>
      <c r="D90" s="169">
        <f t="shared" si="30"/>
        <v>0</v>
      </c>
      <c r="E90" s="124">
        <v>0</v>
      </c>
      <c r="F90" s="176">
        <f t="shared" si="20"/>
        <v>0</v>
      </c>
      <c r="G90" s="168">
        <v>0</v>
      </c>
      <c r="H90" s="329">
        <f t="shared" si="21"/>
        <v>0</v>
      </c>
      <c r="I90" s="124">
        <v>0</v>
      </c>
      <c r="J90" s="176">
        <f t="shared" si="21"/>
        <v>0</v>
      </c>
      <c r="K90" s="168">
        <v>0</v>
      </c>
      <c r="L90" s="176">
        <f t="shared" si="22"/>
        <v>0</v>
      </c>
      <c r="M90" s="168">
        <v>0</v>
      </c>
      <c r="N90" s="329">
        <f t="shared" si="22"/>
        <v>0</v>
      </c>
      <c r="O90" s="124">
        <v>0</v>
      </c>
      <c r="P90" s="329">
        <f t="shared" si="23"/>
        <v>0</v>
      </c>
      <c r="Q90" s="124">
        <v>0</v>
      </c>
      <c r="R90" s="329">
        <f t="shared" si="24"/>
        <v>0</v>
      </c>
      <c r="S90" s="124">
        <f>0</f>
        <v>0</v>
      </c>
      <c r="T90" s="329">
        <f t="shared" si="24"/>
        <v>0</v>
      </c>
      <c r="U90" s="124">
        <v>0</v>
      </c>
      <c r="V90" s="329">
        <f t="shared" si="25"/>
        <v>0</v>
      </c>
      <c r="W90" s="124">
        <v>0</v>
      </c>
      <c r="X90" s="329">
        <f t="shared" si="26"/>
        <v>0</v>
      </c>
      <c r="Y90" s="124">
        <v>0</v>
      </c>
      <c r="Z90" s="329">
        <f t="shared" si="27"/>
        <v>0</v>
      </c>
      <c r="AB90" s="662">
        <f t="shared" si="28"/>
        <v>0</v>
      </c>
      <c r="AC90" s="665">
        <f t="shared" si="29"/>
        <v>0</v>
      </c>
    </row>
    <row r="91" spans="2:29" ht="12" x14ac:dyDescent="0.2">
      <c r="B91" s="94" t="s">
        <v>61</v>
      </c>
      <c r="C91" s="168">
        <v>0</v>
      </c>
      <c r="D91" s="169">
        <f t="shared" si="30"/>
        <v>0</v>
      </c>
      <c r="E91" s="124">
        <v>0</v>
      </c>
      <c r="F91" s="176">
        <f t="shared" si="20"/>
        <v>0</v>
      </c>
      <c r="G91" s="168">
        <v>0</v>
      </c>
      <c r="H91" s="329">
        <f t="shared" si="21"/>
        <v>0</v>
      </c>
      <c r="I91" s="124">
        <v>0</v>
      </c>
      <c r="J91" s="176">
        <f t="shared" si="21"/>
        <v>0</v>
      </c>
      <c r="K91" s="168">
        <v>1</v>
      </c>
      <c r="L91" s="176">
        <f t="shared" si="22"/>
        <v>2.2222222222222223E-2</v>
      </c>
      <c r="M91" s="168">
        <v>1</v>
      </c>
      <c r="N91" s="329">
        <f t="shared" si="22"/>
        <v>2.3809523809523808E-2</v>
      </c>
      <c r="O91" s="124">
        <v>1</v>
      </c>
      <c r="P91" s="329">
        <f t="shared" si="23"/>
        <v>2.2222222222222223E-2</v>
      </c>
      <c r="Q91" s="124">
        <v>1</v>
      </c>
      <c r="R91" s="329">
        <f t="shared" si="24"/>
        <v>2.1739130434782608E-2</v>
      </c>
      <c r="S91" s="124">
        <f>1</f>
        <v>1</v>
      </c>
      <c r="T91" s="329">
        <f t="shared" si="24"/>
        <v>1.9607843137254902E-2</v>
      </c>
      <c r="U91" s="124">
        <v>1</v>
      </c>
      <c r="V91" s="329">
        <f t="shared" si="25"/>
        <v>1.8867924528301886E-2</v>
      </c>
      <c r="W91" s="124">
        <v>2</v>
      </c>
      <c r="X91" s="329">
        <f t="shared" si="26"/>
        <v>3.8461538461538464E-2</v>
      </c>
      <c r="Y91" s="124">
        <v>1</v>
      </c>
      <c r="Z91" s="329">
        <f t="shared" si="27"/>
        <v>1.8181818181818181E-2</v>
      </c>
      <c r="AB91" s="662">
        <f t="shared" si="28"/>
        <v>1.2</v>
      </c>
      <c r="AC91" s="665">
        <f t="shared" si="29"/>
        <v>2.3371650948739209E-2</v>
      </c>
    </row>
    <row r="92" spans="2:29" ht="12" x14ac:dyDescent="0.2">
      <c r="B92" s="94" t="s">
        <v>62</v>
      </c>
      <c r="C92" s="168">
        <v>0</v>
      </c>
      <c r="D92" s="169">
        <f t="shared" si="30"/>
        <v>0</v>
      </c>
      <c r="E92" s="124">
        <v>0</v>
      </c>
      <c r="F92" s="176">
        <f t="shared" si="20"/>
        <v>0</v>
      </c>
      <c r="G92" s="168">
        <v>0</v>
      </c>
      <c r="H92" s="329">
        <f t="shared" si="21"/>
        <v>0</v>
      </c>
      <c r="I92" s="124">
        <v>1</v>
      </c>
      <c r="J92" s="176">
        <f t="shared" si="21"/>
        <v>2.2727272727272728E-2</v>
      </c>
      <c r="K92" s="168">
        <v>0</v>
      </c>
      <c r="L92" s="176">
        <f t="shared" si="22"/>
        <v>0</v>
      </c>
      <c r="M92" s="168">
        <v>0</v>
      </c>
      <c r="N92" s="329">
        <f t="shared" si="22"/>
        <v>0</v>
      </c>
      <c r="O92" s="124">
        <v>0</v>
      </c>
      <c r="P92" s="329">
        <f t="shared" si="23"/>
        <v>0</v>
      </c>
      <c r="Q92" s="124">
        <v>1</v>
      </c>
      <c r="R92" s="329">
        <f t="shared" si="24"/>
        <v>2.1739130434782608E-2</v>
      </c>
      <c r="S92" s="124">
        <f>1</f>
        <v>1</v>
      </c>
      <c r="T92" s="329">
        <f t="shared" si="24"/>
        <v>1.9607843137254902E-2</v>
      </c>
      <c r="U92" s="124">
        <v>0</v>
      </c>
      <c r="V92" s="329">
        <f t="shared" si="25"/>
        <v>0</v>
      </c>
      <c r="W92" s="124">
        <v>0</v>
      </c>
      <c r="X92" s="329">
        <f t="shared" si="26"/>
        <v>0</v>
      </c>
      <c r="Y92" s="124">
        <v>0</v>
      </c>
      <c r="Z92" s="329">
        <f t="shared" si="27"/>
        <v>0</v>
      </c>
      <c r="AB92" s="662">
        <f t="shared" si="28"/>
        <v>0.4</v>
      </c>
      <c r="AC92" s="665">
        <f t="shared" si="29"/>
        <v>8.2693947144075013E-3</v>
      </c>
    </row>
    <row r="93" spans="2:29" ht="12" x14ac:dyDescent="0.2">
      <c r="B93" s="94" t="s">
        <v>155</v>
      </c>
      <c r="C93" s="170"/>
      <c r="D93" s="169"/>
      <c r="E93" s="125"/>
      <c r="F93" s="176"/>
      <c r="G93" s="910"/>
      <c r="H93" s="911"/>
      <c r="I93" s="912"/>
      <c r="J93" s="913"/>
      <c r="K93" s="910"/>
      <c r="L93" s="913"/>
      <c r="M93" s="910"/>
      <c r="N93" s="911"/>
      <c r="O93" s="912"/>
      <c r="P93" s="911"/>
      <c r="Q93" s="125">
        <v>0</v>
      </c>
      <c r="R93" s="329">
        <f t="shared" si="24"/>
        <v>0</v>
      </c>
      <c r="S93" s="125">
        <f>0</f>
        <v>0</v>
      </c>
      <c r="T93" s="329">
        <f t="shared" si="24"/>
        <v>0</v>
      </c>
      <c r="U93" s="125">
        <v>0</v>
      </c>
      <c r="V93" s="329">
        <f t="shared" si="25"/>
        <v>0</v>
      </c>
      <c r="W93" s="125">
        <v>0</v>
      </c>
      <c r="X93" s="329">
        <f t="shared" si="26"/>
        <v>0</v>
      </c>
      <c r="Y93" s="125">
        <v>0</v>
      </c>
      <c r="Z93" s="329">
        <f t="shared" si="27"/>
        <v>0</v>
      </c>
      <c r="AB93" s="662">
        <f t="shared" si="28"/>
        <v>0</v>
      </c>
      <c r="AC93" s="665">
        <f t="shared" si="29"/>
        <v>0</v>
      </c>
    </row>
    <row r="94" spans="2:29" ht="12" x14ac:dyDescent="0.2">
      <c r="B94" s="94" t="s">
        <v>63</v>
      </c>
      <c r="C94" s="170">
        <v>0</v>
      </c>
      <c r="D94" s="169">
        <f t="shared" si="30"/>
        <v>0</v>
      </c>
      <c r="E94" s="125">
        <v>0</v>
      </c>
      <c r="F94" s="176">
        <f t="shared" si="20"/>
        <v>0</v>
      </c>
      <c r="G94" s="170">
        <v>0</v>
      </c>
      <c r="H94" s="329">
        <f t="shared" si="21"/>
        <v>0</v>
      </c>
      <c r="I94" s="125">
        <v>0</v>
      </c>
      <c r="J94" s="176">
        <f t="shared" si="21"/>
        <v>0</v>
      </c>
      <c r="K94" s="170">
        <v>0</v>
      </c>
      <c r="L94" s="176">
        <f t="shared" si="22"/>
        <v>0</v>
      </c>
      <c r="M94" s="170">
        <v>0</v>
      </c>
      <c r="N94" s="329">
        <f t="shared" si="22"/>
        <v>0</v>
      </c>
      <c r="O94" s="125">
        <v>0</v>
      </c>
      <c r="P94" s="329">
        <f t="shared" si="23"/>
        <v>0</v>
      </c>
      <c r="Q94" s="125">
        <v>0</v>
      </c>
      <c r="R94" s="329">
        <f t="shared" si="24"/>
        <v>0</v>
      </c>
      <c r="S94" s="125">
        <f>0</f>
        <v>0</v>
      </c>
      <c r="T94" s="329">
        <f t="shared" si="24"/>
        <v>0</v>
      </c>
      <c r="U94" s="125">
        <v>0</v>
      </c>
      <c r="V94" s="329">
        <f t="shared" si="25"/>
        <v>0</v>
      </c>
      <c r="W94" s="125">
        <v>0</v>
      </c>
      <c r="X94" s="329">
        <f t="shared" si="26"/>
        <v>0</v>
      </c>
      <c r="Y94" s="125">
        <v>0</v>
      </c>
      <c r="Z94" s="329">
        <f t="shared" si="27"/>
        <v>0</v>
      </c>
      <c r="AB94" s="662">
        <f t="shared" si="28"/>
        <v>0</v>
      </c>
      <c r="AC94" s="665">
        <f t="shared" si="29"/>
        <v>0</v>
      </c>
    </row>
    <row r="95" spans="2:29" ht="12" x14ac:dyDescent="0.2">
      <c r="B95" s="419" t="s">
        <v>77</v>
      </c>
      <c r="C95" s="171"/>
      <c r="D95" s="169"/>
      <c r="E95" s="180"/>
      <c r="F95" s="221"/>
      <c r="G95" s="249"/>
      <c r="H95" s="330"/>
      <c r="I95" s="180"/>
      <c r="J95" s="221"/>
      <c r="K95" s="249"/>
      <c r="L95" s="221"/>
      <c r="M95" s="249"/>
      <c r="N95" s="330"/>
      <c r="O95" s="180"/>
      <c r="P95" s="330"/>
      <c r="Q95" s="180"/>
      <c r="R95" s="330"/>
      <c r="S95" s="180"/>
      <c r="T95" s="330"/>
      <c r="U95" s="180"/>
      <c r="V95" s="330"/>
      <c r="W95" s="180"/>
      <c r="X95" s="330"/>
      <c r="Y95" s="180"/>
      <c r="Z95" s="330"/>
      <c r="AB95" s="666"/>
      <c r="AC95" s="663"/>
    </row>
    <row r="96" spans="2:29" ht="12" x14ac:dyDescent="0.2">
      <c r="B96" s="45" t="s">
        <v>64</v>
      </c>
      <c r="C96" s="183">
        <v>14</v>
      </c>
      <c r="D96" s="169">
        <f t="shared" si="30"/>
        <v>0.35897435897435898</v>
      </c>
      <c r="E96" s="52">
        <v>16</v>
      </c>
      <c r="F96" s="222">
        <f>E96/F$85</f>
        <v>0.37209302325581395</v>
      </c>
      <c r="G96" s="183">
        <v>15</v>
      </c>
      <c r="H96" s="331">
        <f>G96/H$85</f>
        <v>0.36585365853658536</v>
      </c>
      <c r="I96" s="101">
        <v>14</v>
      </c>
      <c r="J96" s="176">
        <f>I96/J$85</f>
        <v>0.31818181818181818</v>
      </c>
      <c r="K96" s="183">
        <v>15</v>
      </c>
      <c r="L96" s="176">
        <f>K96/L$85</f>
        <v>0.33333333333333331</v>
      </c>
      <c r="M96" s="183">
        <v>14</v>
      </c>
      <c r="N96" s="329">
        <f>M96/N$85</f>
        <v>0.33333333333333331</v>
      </c>
      <c r="O96" s="101">
        <v>14</v>
      </c>
      <c r="P96" s="329">
        <f>O96/P$85</f>
        <v>0.31111111111111112</v>
      </c>
      <c r="Q96" s="101">
        <v>14</v>
      </c>
      <c r="R96" s="329">
        <f>Q96/R$85</f>
        <v>0.30434782608695654</v>
      </c>
      <c r="S96" s="101">
        <f>2+12</f>
        <v>14</v>
      </c>
      <c r="T96" s="329">
        <f>S96/T$85</f>
        <v>0.27450980392156865</v>
      </c>
      <c r="U96" s="101">
        <v>15</v>
      </c>
      <c r="V96" s="329">
        <f>U96/V$85</f>
        <v>0.28301886792452829</v>
      </c>
      <c r="W96" s="101">
        <f>3+12</f>
        <v>15</v>
      </c>
      <c r="X96" s="329">
        <f>W96/X$85</f>
        <v>0.28846153846153844</v>
      </c>
      <c r="Y96" s="101">
        <v>16</v>
      </c>
      <c r="Z96" s="329">
        <f>Y96/Z$85</f>
        <v>0.29090909090909089</v>
      </c>
      <c r="AB96" s="662">
        <f t="shared" ref="AB96:AB97" si="31">AVERAGE(W96,U96,S96,Q96,Y96)</f>
        <v>14.8</v>
      </c>
      <c r="AC96" s="665">
        <f t="shared" ref="AC96:AC97" si="32">AVERAGE(X96,V96,T96,R96,Z96)</f>
        <v>0.28824942546073656</v>
      </c>
    </row>
    <row r="97" spans="1:31" ht="12" x14ac:dyDescent="0.2">
      <c r="B97" s="45" t="s">
        <v>65</v>
      </c>
      <c r="C97" s="183">
        <v>25</v>
      </c>
      <c r="D97" s="169">
        <f t="shared" si="30"/>
        <v>0.64102564102564108</v>
      </c>
      <c r="E97" s="178">
        <v>27</v>
      </c>
      <c r="F97" s="222">
        <f>E97/F$85</f>
        <v>0.62790697674418605</v>
      </c>
      <c r="G97" s="250">
        <v>26</v>
      </c>
      <c r="H97" s="331">
        <f>G97/H$85</f>
        <v>0.63414634146341464</v>
      </c>
      <c r="I97" s="323">
        <v>30</v>
      </c>
      <c r="J97" s="176">
        <f>I97/J$85</f>
        <v>0.68181818181818177</v>
      </c>
      <c r="K97" s="250">
        <v>30</v>
      </c>
      <c r="L97" s="176">
        <f>K97/L$85</f>
        <v>0.66666666666666663</v>
      </c>
      <c r="M97" s="250">
        <v>28</v>
      </c>
      <c r="N97" s="329">
        <f>M97/N$85</f>
        <v>0.66666666666666663</v>
      </c>
      <c r="O97" s="323">
        <v>31</v>
      </c>
      <c r="P97" s="329">
        <f>O97/P$85</f>
        <v>0.68888888888888888</v>
      </c>
      <c r="Q97" s="323">
        <v>32</v>
      </c>
      <c r="R97" s="329">
        <f>Q97/R$85</f>
        <v>0.69565217391304346</v>
      </c>
      <c r="S97" s="323">
        <f>9+28</f>
        <v>37</v>
      </c>
      <c r="T97" s="329">
        <f>S97/T$85</f>
        <v>0.72549019607843135</v>
      </c>
      <c r="U97" s="323">
        <v>38</v>
      </c>
      <c r="V97" s="329">
        <f>U97/V$85</f>
        <v>0.71698113207547165</v>
      </c>
      <c r="W97" s="323">
        <f>8+29</f>
        <v>37</v>
      </c>
      <c r="X97" s="329">
        <f>W97/X$85</f>
        <v>0.71153846153846156</v>
      </c>
      <c r="Y97" s="323">
        <v>39</v>
      </c>
      <c r="Z97" s="329">
        <f>Y97/Z$85</f>
        <v>0.70909090909090911</v>
      </c>
      <c r="AB97" s="662">
        <f t="shared" si="31"/>
        <v>36.6</v>
      </c>
      <c r="AC97" s="665">
        <f t="shared" si="32"/>
        <v>0.71175057453926338</v>
      </c>
    </row>
    <row r="98" spans="1:31" ht="12" x14ac:dyDescent="0.2">
      <c r="B98" s="419" t="s">
        <v>78</v>
      </c>
      <c r="C98" s="173"/>
      <c r="D98" s="169"/>
      <c r="E98" s="181"/>
      <c r="F98" s="222"/>
      <c r="G98" s="251"/>
      <c r="H98" s="331"/>
      <c r="I98" s="324"/>
      <c r="J98" s="176"/>
      <c r="K98" s="251"/>
      <c r="L98" s="176"/>
      <c r="M98" s="251"/>
      <c r="N98" s="329"/>
      <c r="O98" s="324"/>
      <c r="P98" s="329"/>
      <c r="Q98" s="324"/>
      <c r="R98" s="329"/>
      <c r="S98" s="324"/>
      <c r="T98" s="329"/>
      <c r="U98" s="324"/>
      <c r="V98" s="329"/>
      <c r="W98" s="324"/>
      <c r="X98" s="329"/>
      <c r="Y98" s="324"/>
      <c r="Z98" s="329"/>
      <c r="AB98" s="673"/>
      <c r="AC98" s="674"/>
    </row>
    <row r="99" spans="1:31" ht="12" x14ac:dyDescent="0.2">
      <c r="B99" s="45" t="s">
        <v>66</v>
      </c>
      <c r="C99" s="179">
        <v>17</v>
      </c>
      <c r="D99" s="169">
        <f t="shared" si="30"/>
        <v>0.4358974358974359</v>
      </c>
      <c r="E99" s="178">
        <v>22</v>
      </c>
      <c r="F99" s="222">
        <f>E99/F$85</f>
        <v>0.51162790697674421</v>
      </c>
      <c r="G99" s="250">
        <v>24</v>
      </c>
      <c r="H99" s="331">
        <f>G99/H$85</f>
        <v>0.58536585365853655</v>
      </c>
      <c r="I99" s="323">
        <v>20</v>
      </c>
      <c r="J99" s="176">
        <f>I99/J$85</f>
        <v>0.45454545454545453</v>
      </c>
      <c r="K99" s="250">
        <v>22</v>
      </c>
      <c r="L99" s="176">
        <f>K99/L$85</f>
        <v>0.48888888888888887</v>
      </c>
      <c r="M99" s="250">
        <v>18</v>
      </c>
      <c r="N99" s="329">
        <f>M99/N$85</f>
        <v>0.42857142857142855</v>
      </c>
      <c r="O99" s="323">
        <v>20</v>
      </c>
      <c r="P99" s="329">
        <f>O99/P$85</f>
        <v>0.44444444444444442</v>
      </c>
      <c r="Q99" s="323">
        <v>18</v>
      </c>
      <c r="R99" s="329">
        <f>Q99/R$85</f>
        <v>0.39130434782608697</v>
      </c>
      <c r="S99" s="323">
        <f>2+15</f>
        <v>17</v>
      </c>
      <c r="T99" s="329">
        <f>S99/T$85</f>
        <v>0.33333333333333331</v>
      </c>
      <c r="U99" s="323">
        <v>17</v>
      </c>
      <c r="V99" s="329">
        <f>U99/V$85</f>
        <v>0.32075471698113206</v>
      </c>
      <c r="W99" s="323">
        <f>3+17</f>
        <v>20</v>
      </c>
      <c r="X99" s="329">
        <f>W99/X$85</f>
        <v>0.38461538461538464</v>
      </c>
      <c r="Y99" s="323">
        <v>22</v>
      </c>
      <c r="Z99" s="329">
        <f>Y99/Z$85</f>
        <v>0.4</v>
      </c>
      <c r="AB99" s="662">
        <f t="shared" ref="AB99:AB101" si="33">AVERAGE(W99,U99,S99,Q99,Y99)</f>
        <v>18.8</v>
      </c>
      <c r="AC99" s="665">
        <f t="shared" ref="AC99:AC101" si="34">AVERAGE(X99,V99,T99,R99,Z99)</f>
        <v>0.36600155655118743</v>
      </c>
    </row>
    <row r="100" spans="1:31" ht="12" x14ac:dyDescent="0.2">
      <c r="B100" s="45" t="s">
        <v>67</v>
      </c>
      <c r="C100" s="179">
        <v>7</v>
      </c>
      <c r="D100" s="169">
        <f t="shared" si="30"/>
        <v>0.17948717948717949</v>
      </c>
      <c r="E100" s="178">
        <v>7</v>
      </c>
      <c r="F100" s="222">
        <f>E100/F$85</f>
        <v>0.16279069767441862</v>
      </c>
      <c r="G100" s="250">
        <v>5</v>
      </c>
      <c r="H100" s="331">
        <f>G100/H$85</f>
        <v>0.12195121951219512</v>
      </c>
      <c r="I100" s="323">
        <v>6</v>
      </c>
      <c r="J100" s="176">
        <f>I100/J$85</f>
        <v>0.13636363636363635</v>
      </c>
      <c r="K100" s="250">
        <v>7</v>
      </c>
      <c r="L100" s="176">
        <f>K100/L$85</f>
        <v>0.15555555555555556</v>
      </c>
      <c r="M100" s="250">
        <v>9</v>
      </c>
      <c r="N100" s="329">
        <f>M100/N$85</f>
        <v>0.21428571428571427</v>
      </c>
      <c r="O100" s="323">
        <v>8</v>
      </c>
      <c r="P100" s="329">
        <f>O100/P$85</f>
        <v>0.17777777777777778</v>
      </c>
      <c r="Q100" s="323">
        <v>9</v>
      </c>
      <c r="R100" s="329">
        <f>Q100/R$85</f>
        <v>0.19565217391304349</v>
      </c>
      <c r="S100" s="323">
        <f>9</f>
        <v>9</v>
      </c>
      <c r="T100" s="329">
        <f>S100/T$85</f>
        <v>0.17647058823529413</v>
      </c>
      <c r="U100" s="323">
        <v>9</v>
      </c>
      <c r="V100" s="329">
        <f>U100/V$85</f>
        <v>0.16981132075471697</v>
      </c>
      <c r="W100" s="323">
        <v>9</v>
      </c>
      <c r="X100" s="329">
        <f>W100/X$85</f>
        <v>0.17307692307692307</v>
      </c>
      <c r="Y100" s="323">
        <v>9</v>
      </c>
      <c r="Z100" s="329">
        <f>Y100/Z$85</f>
        <v>0.16363636363636364</v>
      </c>
      <c r="AB100" s="662">
        <f t="shared" si="33"/>
        <v>9</v>
      </c>
      <c r="AC100" s="665">
        <f t="shared" si="34"/>
        <v>0.17572947392326826</v>
      </c>
    </row>
    <row r="101" spans="1:31" ht="12" x14ac:dyDescent="0.2">
      <c r="B101" s="45" t="s">
        <v>68</v>
      </c>
      <c r="C101" s="179">
        <v>15</v>
      </c>
      <c r="D101" s="169">
        <f t="shared" si="30"/>
        <v>0.38461538461538464</v>
      </c>
      <c r="E101" s="178">
        <v>14</v>
      </c>
      <c r="F101" s="222">
        <f>E101/F$85</f>
        <v>0.32558139534883723</v>
      </c>
      <c r="G101" s="250">
        <v>12</v>
      </c>
      <c r="H101" s="331">
        <f>G101/H$85</f>
        <v>0.29268292682926828</v>
      </c>
      <c r="I101" s="323">
        <v>18</v>
      </c>
      <c r="J101" s="176">
        <f>I101/J$85</f>
        <v>0.40909090909090912</v>
      </c>
      <c r="K101" s="250">
        <v>16</v>
      </c>
      <c r="L101" s="176">
        <f>K101/L$85</f>
        <v>0.35555555555555557</v>
      </c>
      <c r="M101" s="250">
        <v>15</v>
      </c>
      <c r="N101" s="329">
        <f>M101/N$85</f>
        <v>0.35714285714285715</v>
      </c>
      <c r="O101" s="323">
        <v>17</v>
      </c>
      <c r="P101" s="329">
        <f>O101/P$85</f>
        <v>0.37777777777777777</v>
      </c>
      <c r="Q101" s="323">
        <v>19</v>
      </c>
      <c r="R101" s="329">
        <f>Q101/R$85</f>
        <v>0.41304347826086957</v>
      </c>
      <c r="S101" s="323">
        <f>9+16</f>
        <v>25</v>
      </c>
      <c r="T101" s="329">
        <f>S101/T$85</f>
        <v>0.49019607843137253</v>
      </c>
      <c r="U101" s="323">
        <v>27</v>
      </c>
      <c r="V101" s="329">
        <f>U101/V$85</f>
        <v>0.50943396226415094</v>
      </c>
      <c r="W101" s="323">
        <f>8+15</f>
        <v>23</v>
      </c>
      <c r="X101" s="329">
        <f>W101/X$85</f>
        <v>0.44230769230769229</v>
      </c>
      <c r="Y101" s="323">
        <v>24</v>
      </c>
      <c r="Z101" s="329">
        <f>Y101/Z$85</f>
        <v>0.43636363636363634</v>
      </c>
      <c r="AB101" s="662">
        <f t="shared" si="33"/>
        <v>23.6</v>
      </c>
      <c r="AC101" s="665">
        <f t="shared" si="34"/>
        <v>0.45826896952554436</v>
      </c>
    </row>
    <row r="102" spans="1:31" ht="12" x14ac:dyDescent="0.2">
      <c r="B102" s="419" t="s">
        <v>79</v>
      </c>
      <c r="C102" s="173"/>
      <c r="D102" s="169"/>
      <c r="E102" s="181"/>
      <c r="F102" s="222"/>
      <c r="G102" s="251"/>
      <c r="H102" s="331"/>
      <c r="I102" s="324"/>
      <c r="J102" s="176"/>
      <c r="K102" s="251"/>
      <c r="L102" s="176"/>
      <c r="M102" s="251"/>
      <c r="N102" s="329"/>
      <c r="O102" s="324"/>
      <c r="P102" s="329"/>
      <c r="Q102" s="324"/>
      <c r="R102" s="329"/>
      <c r="S102" s="324"/>
      <c r="T102" s="329"/>
      <c r="U102" s="324"/>
      <c r="V102" s="329"/>
      <c r="W102" s="324"/>
      <c r="X102" s="329"/>
      <c r="Y102" s="324"/>
      <c r="Z102" s="329"/>
      <c r="AB102" s="619"/>
      <c r="AC102" s="618"/>
    </row>
    <row r="103" spans="1:31" ht="12" x14ac:dyDescent="0.2">
      <c r="B103" s="45" t="s">
        <v>69</v>
      </c>
      <c r="C103" s="179">
        <v>27</v>
      </c>
      <c r="D103" s="169">
        <f t="shared" si="30"/>
        <v>0.69230769230769229</v>
      </c>
      <c r="E103" s="178">
        <v>28</v>
      </c>
      <c r="F103" s="222">
        <f>E103/F$85</f>
        <v>0.65116279069767447</v>
      </c>
      <c r="G103" s="250">
        <v>30</v>
      </c>
      <c r="H103" s="331">
        <f>G103/H$85</f>
        <v>0.73170731707317072</v>
      </c>
      <c r="I103" s="323">
        <v>28</v>
      </c>
      <c r="J103" s="176">
        <f>I103/J$85</f>
        <v>0.63636363636363635</v>
      </c>
      <c r="K103" s="250">
        <v>31</v>
      </c>
      <c r="L103" s="176">
        <f>K103/L$85</f>
        <v>0.68888888888888888</v>
      </c>
      <c r="M103" s="250">
        <v>25</v>
      </c>
      <c r="N103" s="329">
        <f>M103/N$85</f>
        <v>0.59523809523809523</v>
      </c>
      <c r="O103" s="323">
        <v>26</v>
      </c>
      <c r="P103" s="329">
        <f>O103/P$85</f>
        <v>0.57777777777777772</v>
      </c>
      <c r="Q103" s="323">
        <v>28</v>
      </c>
      <c r="R103" s="329">
        <f>Q103/R$85</f>
        <v>0.60869565217391308</v>
      </c>
      <c r="S103" s="323">
        <f>5+26</f>
        <v>31</v>
      </c>
      <c r="T103" s="329">
        <f>S103/T$85</f>
        <v>0.60784313725490191</v>
      </c>
      <c r="U103" s="323">
        <v>32</v>
      </c>
      <c r="V103" s="329">
        <f>U103/V$85</f>
        <v>0.60377358490566035</v>
      </c>
      <c r="W103" s="323">
        <f>7+28</f>
        <v>35</v>
      </c>
      <c r="X103" s="329">
        <f>W103/X$85</f>
        <v>0.67307692307692313</v>
      </c>
      <c r="Y103" s="323">
        <v>35</v>
      </c>
      <c r="Z103" s="329">
        <f>Y103/Z$85</f>
        <v>0.63636363636363635</v>
      </c>
      <c r="AB103" s="662">
        <f t="shared" ref="AB103:AB106" si="35">AVERAGE(W103,U103,S103,Q103,Y103)</f>
        <v>32.200000000000003</v>
      </c>
      <c r="AC103" s="665">
        <f t="shared" ref="AC103:AC106" si="36">AVERAGE(X103,V103,T103,R103,Z103)</f>
        <v>0.62595058675500703</v>
      </c>
    </row>
    <row r="104" spans="1:31" ht="12" x14ac:dyDescent="0.2">
      <c r="B104" s="45" t="s">
        <v>70</v>
      </c>
      <c r="C104" s="179">
        <v>11</v>
      </c>
      <c r="D104" s="169">
        <f t="shared" si="30"/>
        <v>0.28205128205128205</v>
      </c>
      <c r="E104" s="178">
        <v>12</v>
      </c>
      <c r="F104" s="222">
        <f>E104/F$85</f>
        <v>0.27906976744186046</v>
      </c>
      <c r="G104" s="250">
        <v>10</v>
      </c>
      <c r="H104" s="331">
        <f>G104/H$85</f>
        <v>0.24390243902439024</v>
      </c>
      <c r="I104" s="323">
        <v>15</v>
      </c>
      <c r="J104" s="176">
        <f>I104/J$85</f>
        <v>0.34090909090909088</v>
      </c>
      <c r="K104" s="250">
        <v>14</v>
      </c>
      <c r="L104" s="176">
        <f>K104/L$85</f>
        <v>0.31111111111111112</v>
      </c>
      <c r="M104" s="250">
        <v>15</v>
      </c>
      <c r="N104" s="329">
        <f>M104/N$85</f>
        <v>0.35714285714285715</v>
      </c>
      <c r="O104" s="323">
        <v>18</v>
      </c>
      <c r="P104" s="329">
        <f>O104/P$85</f>
        <v>0.4</v>
      </c>
      <c r="Q104" s="323">
        <v>18</v>
      </c>
      <c r="R104" s="329">
        <f>Q104/R$85</f>
        <v>0.39130434782608697</v>
      </c>
      <c r="S104" s="323">
        <f>5+14</f>
        <v>19</v>
      </c>
      <c r="T104" s="329">
        <f>S104/T$85</f>
        <v>0.37254901960784315</v>
      </c>
      <c r="U104" s="323">
        <v>19</v>
      </c>
      <c r="V104" s="329">
        <f>U104/V$85</f>
        <v>0.35849056603773582</v>
      </c>
      <c r="W104" s="323">
        <f>4+12</f>
        <v>16</v>
      </c>
      <c r="X104" s="329">
        <f>W104/X$85</f>
        <v>0.30769230769230771</v>
      </c>
      <c r="Y104" s="323">
        <v>19</v>
      </c>
      <c r="Z104" s="329">
        <f>Y104/Z$85</f>
        <v>0.34545454545454546</v>
      </c>
      <c r="AB104" s="662">
        <f t="shared" si="35"/>
        <v>18.2</v>
      </c>
      <c r="AC104" s="665">
        <f t="shared" si="36"/>
        <v>0.35509815732370381</v>
      </c>
    </row>
    <row r="105" spans="1:31" ht="12" x14ac:dyDescent="0.2">
      <c r="B105" s="45" t="s">
        <v>71</v>
      </c>
      <c r="C105" s="179">
        <v>1</v>
      </c>
      <c r="D105" s="169">
        <f t="shared" si="30"/>
        <v>2.564102564102564E-2</v>
      </c>
      <c r="E105" s="178">
        <v>3</v>
      </c>
      <c r="F105" s="222">
        <f>E105/F$85</f>
        <v>6.9767441860465115E-2</v>
      </c>
      <c r="G105" s="250">
        <v>1</v>
      </c>
      <c r="H105" s="331">
        <f>G105/H$85</f>
        <v>2.4390243902439025E-2</v>
      </c>
      <c r="I105" s="323">
        <v>1</v>
      </c>
      <c r="J105" s="176">
        <f>I105/J$85</f>
        <v>2.2727272727272728E-2</v>
      </c>
      <c r="K105" s="250">
        <v>0</v>
      </c>
      <c r="L105" s="176">
        <f>K105/L$85</f>
        <v>0</v>
      </c>
      <c r="M105" s="250">
        <v>2</v>
      </c>
      <c r="N105" s="329">
        <f>M105/N$85</f>
        <v>4.7619047619047616E-2</v>
      </c>
      <c r="O105" s="323">
        <v>1</v>
      </c>
      <c r="P105" s="329">
        <f>O105/P$85</f>
        <v>2.2222222222222223E-2</v>
      </c>
      <c r="Q105" s="323">
        <v>0</v>
      </c>
      <c r="R105" s="329">
        <f>Q105/R$85</f>
        <v>0</v>
      </c>
      <c r="S105" s="323">
        <f>1</f>
        <v>1</v>
      </c>
      <c r="T105" s="329">
        <f>S105/T$85</f>
        <v>1.9607843137254902E-2</v>
      </c>
      <c r="U105" s="323">
        <v>2</v>
      </c>
      <c r="V105" s="329">
        <f>U105/V$85</f>
        <v>3.7735849056603772E-2</v>
      </c>
      <c r="W105" s="323">
        <v>1</v>
      </c>
      <c r="X105" s="329">
        <f>W105/X$85</f>
        <v>1.9230769230769232E-2</v>
      </c>
      <c r="Y105" s="323">
        <v>1</v>
      </c>
      <c r="Z105" s="329">
        <f>Y105/Z$85</f>
        <v>1.8181818181818181E-2</v>
      </c>
      <c r="AB105" s="662">
        <f t="shared" si="35"/>
        <v>1</v>
      </c>
      <c r="AC105" s="665">
        <f t="shared" si="36"/>
        <v>1.8951255921289219E-2</v>
      </c>
    </row>
    <row r="106" spans="1:31" thickBot="1" x14ac:dyDescent="0.25">
      <c r="B106" s="120" t="s">
        <v>72</v>
      </c>
      <c r="C106" s="174">
        <v>0</v>
      </c>
      <c r="D106" s="175">
        <f t="shared" si="30"/>
        <v>0</v>
      </c>
      <c r="E106" s="182">
        <v>0</v>
      </c>
      <c r="F106" s="223">
        <f>E106/F$85</f>
        <v>0</v>
      </c>
      <c r="G106" s="252">
        <v>0</v>
      </c>
      <c r="H106" s="332">
        <f>G106/H$85</f>
        <v>0</v>
      </c>
      <c r="I106" s="325">
        <v>0</v>
      </c>
      <c r="J106" s="177">
        <f>I106/J$85</f>
        <v>0</v>
      </c>
      <c r="K106" s="252">
        <v>0</v>
      </c>
      <c r="L106" s="177">
        <f>K106/L$85</f>
        <v>0</v>
      </c>
      <c r="M106" s="252">
        <v>0</v>
      </c>
      <c r="N106" s="342">
        <f>M106/N$85</f>
        <v>0</v>
      </c>
      <c r="O106" s="325">
        <v>0</v>
      </c>
      <c r="P106" s="342">
        <f>O106/P$85</f>
        <v>0</v>
      </c>
      <c r="Q106" s="325">
        <v>0</v>
      </c>
      <c r="R106" s="342">
        <f>Q106/R$85</f>
        <v>0</v>
      </c>
      <c r="S106" s="325">
        <f>0</f>
        <v>0</v>
      </c>
      <c r="T106" s="342">
        <f>S106/T$85</f>
        <v>0</v>
      </c>
      <c r="U106" s="325">
        <v>0</v>
      </c>
      <c r="V106" s="342">
        <f>U106/V$85</f>
        <v>0</v>
      </c>
      <c r="W106" s="325">
        <v>0</v>
      </c>
      <c r="X106" s="342">
        <f>W106/X$85</f>
        <v>0</v>
      </c>
      <c r="Y106" s="325">
        <v>0</v>
      </c>
      <c r="Z106" s="342">
        <f>Y106/Z$85</f>
        <v>0</v>
      </c>
      <c r="AB106" s="667">
        <f t="shared" si="35"/>
        <v>0</v>
      </c>
      <c r="AC106" s="668">
        <f t="shared" si="36"/>
        <v>0</v>
      </c>
    </row>
    <row r="107" spans="1:31" ht="14.25" customHeight="1" thickTop="1" thickBot="1" x14ac:dyDescent="0.25">
      <c r="A107" s="272"/>
      <c r="B107" s="524" t="s">
        <v>104</v>
      </c>
      <c r="C107" s="1292" t="s">
        <v>27</v>
      </c>
      <c r="D107" s="1293"/>
      <c r="E107" s="1292" t="s">
        <v>28</v>
      </c>
      <c r="F107" s="1294"/>
      <c r="G107" s="1286" t="s">
        <v>83</v>
      </c>
      <c r="H107" s="1255"/>
      <c r="I107" s="1286" t="s">
        <v>93</v>
      </c>
      <c r="J107" s="1254"/>
      <c r="K107" s="1286" t="s">
        <v>94</v>
      </c>
      <c r="L107" s="1254"/>
      <c r="M107" s="1286" t="s">
        <v>100</v>
      </c>
      <c r="N107" s="1255"/>
      <c r="O107" s="1254" t="s">
        <v>143</v>
      </c>
      <c r="P107" s="1255"/>
      <c r="Q107" s="1254" t="s">
        <v>149</v>
      </c>
      <c r="R107" s="1255"/>
      <c r="S107" s="1254" t="s">
        <v>167</v>
      </c>
      <c r="T107" s="1255"/>
      <c r="U107" s="1254" t="s">
        <v>181</v>
      </c>
      <c r="V107" s="1255"/>
      <c r="W107" s="1254" t="s">
        <v>194</v>
      </c>
      <c r="X107" s="1255"/>
      <c r="Y107" s="1254" t="s">
        <v>203</v>
      </c>
      <c r="Z107" s="1255"/>
      <c r="AA107" s="272"/>
      <c r="AB107" s="1259" t="s">
        <v>133</v>
      </c>
      <c r="AC107" s="1268"/>
      <c r="AD107"/>
      <c r="AE107"/>
    </row>
    <row r="108" spans="1:31" ht="14.25" customHeight="1" x14ac:dyDescent="0.2">
      <c r="A108" s="272"/>
      <c r="B108" s="525"/>
      <c r="C108" s="67" t="s">
        <v>74</v>
      </c>
      <c r="D108" s="526" t="s">
        <v>18</v>
      </c>
      <c r="E108" s="67" t="s">
        <v>74</v>
      </c>
      <c r="F108" s="526" t="s">
        <v>18</v>
      </c>
      <c r="G108" s="67" t="s">
        <v>74</v>
      </c>
      <c r="H108" s="526" t="s">
        <v>18</v>
      </c>
      <c r="I108" s="67" t="s">
        <v>74</v>
      </c>
      <c r="J108" s="526" t="s">
        <v>18</v>
      </c>
      <c r="K108" s="67" t="s">
        <v>74</v>
      </c>
      <c r="L108" s="526" t="s">
        <v>18</v>
      </c>
      <c r="M108" s="67" t="s">
        <v>74</v>
      </c>
      <c r="N108" s="526" t="s">
        <v>18</v>
      </c>
      <c r="O108" s="772" t="s">
        <v>74</v>
      </c>
      <c r="P108" s="526" t="s">
        <v>18</v>
      </c>
      <c r="Q108" s="907" t="s">
        <v>74</v>
      </c>
      <c r="R108" s="526" t="s">
        <v>18</v>
      </c>
      <c r="S108" s="907" t="s">
        <v>74</v>
      </c>
      <c r="T108" s="526" t="s">
        <v>18</v>
      </c>
      <c r="U108" s="907" t="s">
        <v>74</v>
      </c>
      <c r="V108" s="526" t="s">
        <v>18</v>
      </c>
      <c r="W108" s="907" t="s">
        <v>74</v>
      </c>
      <c r="X108" s="526" t="s">
        <v>18</v>
      </c>
      <c r="Y108" s="907" t="s">
        <v>74</v>
      </c>
      <c r="Z108" s="526" t="s">
        <v>18</v>
      </c>
      <c r="AA108" s="272"/>
      <c r="AB108" s="623" t="s">
        <v>74</v>
      </c>
      <c r="AC108" s="527" t="s">
        <v>18</v>
      </c>
      <c r="AD108"/>
      <c r="AE108"/>
    </row>
    <row r="109" spans="1:31" ht="14.25" customHeight="1" x14ac:dyDescent="0.2">
      <c r="A109" s="272"/>
      <c r="B109" s="417" t="s">
        <v>105</v>
      </c>
      <c r="C109" s="67">
        <v>16</v>
      </c>
      <c r="D109" s="528">
        <v>6.2</v>
      </c>
      <c r="E109" s="203">
        <v>11</v>
      </c>
      <c r="F109" s="529">
        <v>4.0999999999999996</v>
      </c>
      <c r="G109" s="203">
        <v>13</v>
      </c>
      <c r="H109" s="529">
        <v>4.4000000000000004</v>
      </c>
      <c r="I109" s="203">
        <v>20</v>
      </c>
      <c r="J109" s="529">
        <v>8.6999999999999993</v>
      </c>
      <c r="K109" s="67">
        <v>32</v>
      </c>
      <c r="L109" s="529">
        <v>13.95</v>
      </c>
      <c r="M109" s="598">
        <v>33</v>
      </c>
      <c r="N109" s="414">
        <v>15.3</v>
      </c>
      <c r="O109" s="598">
        <v>30</v>
      </c>
      <c r="P109" s="414">
        <v>14.3</v>
      </c>
      <c r="Q109" s="598">
        <v>31</v>
      </c>
      <c r="R109" s="320">
        <v>15.05</v>
      </c>
      <c r="S109" s="598">
        <v>27</v>
      </c>
      <c r="T109" s="320">
        <v>12.4</v>
      </c>
      <c r="U109" s="598">
        <v>32</v>
      </c>
      <c r="V109" s="320">
        <v>15.33</v>
      </c>
      <c r="W109" s="598">
        <v>46</v>
      </c>
      <c r="X109" s="320">
        <v>21.6</v>
      </c>
      <c r="Y109" s="598">
        <v>43</v>
      </c>
      <c r="Z109" s="320">
        <v>19.600000000000001</v>
      </c>
      <c r="AA109" s="272"/>
      <c r="AB109" s="637">
        <f t="shared" ref="AB109:AB111" si="37">AVERAGE(W109,U109,S109,Q109,Y109)</f>
        <v>35.799999999999997</v>
      </c>
      <c r="AC109" s="743">
        <f t="shared" ref="AC109:AC111" si="38">AVERAGE(X109,V109,T109,R109,Z109)</f>
        <v>16.795999999999999</v>
      </c>
      <c r="AD109"/>
      <c r="AE109"/>
    </row>
    <row r="110" spans="1:31" ht="14.25" customHeight="1" x14ac:dyDescent="0.2">
      <c r="A110" s="272"/>
      <c r="B110" s="417" t="s">
        <v>106</v>
      </c>
      <c r="C110" s="67">
        <v>30</v>
      </c>
      <c r="D110" s="528">
        <v>14.6</v>
      </c>
      <c r="E110" s="203">
        <v>24</v>
      </c>
      <c r="F110" s="529">
        <v>12</v>
      </c>
      <c r="G110" s="203">
        <v>24</v>
      </c>
      <c r="H110" s="529">
        <v>11.9</v>
      </c>
      <c r="I110" s="203">
        <v>22</v>
      </c>
      <c r="J110" s="529">
        <v>10.6</v>
      </c>
      <c r="K110" s="67">
        <v>18</v>
      </c>
      <c r="L110" s="529">
        <v>8.5</v>
      </c>
      <c r="M110" s="598">
        <v>18</v>
      </c>
      <c r="N110" s="414">
        <v>8.6999999999999993</v>
      </c>
      <c r="O110" s="598">
        <v>15</v>
      </c>
      <c r="P110" s="414">
        <v>7.5</v>
      </c>
      <c r="Q110" s="598">
        <v>18</v>
      </c>
      <c r="R110" s="320">
        <v>9</v>
      </c>
      <c r="S110" s="598">
        <v>17</v>
      </c>
      <c r="T110" s="320">
        <v>8.5</v>
      </c>
      <c r="U110" s="598">
        <v>17</v>
      </c>
      <c r="V110" s="320">
        <v>8.5</v>
      </c>
      <c r="W110" s="598">
        <v>17</v>
      </c>
      <c r="X110" s="320">
        <v>8.5</v>
      </c>
      <c r="Y110" s="598">
        <v>20</v>
      </c>
      <c r="Z110" s="320">
        <v>10</v>
      </c>
      <c r="AA110" s="272"/>
      <c r="AB110" s="637">
        <f t="shared" si="37"/>
        <v>17.8</v>
      </c>
      <c r="AC110" s="743">
        <f t="shared" si="38"/>
        <v>8.9</v>
      </c>
      <c r="AD110"/>
      <c r="AE110"/>
    </row>
    <row r="111" spans="1:31" ht="14.25" customHeight="1" thickBot="1" x14ac:dyDescent="0.25">
      <c r="A111" s="272"/>
      <c r="B111" s="120" t="s">
        <v>132</v>
      </c>
      <c r="C111" s="532">
        <v>0</v>
      </c>
      <c r="D111" s="531">
        <v>0</v>
      </c>
      <c r="E111" s="683">
        <v>2</v>
      </c>
      <c r="F111" s="533">
        <v>0.4</v>
      </c>
      <c r="G111" s="683">
        <v>1</v>
      </c>
      <c r="H111" s="533">
        <v>0.2</v>
      </c>
      <c r="I111" s="683">
        <v>0</v>
      </c>
      <c r="J111" s="533">
        <v>0</v>
      </c>
      <c r="K111" s="532">
        <v>0</v>
      </c>
      <c r="L111" s="533">
        <v>0</v>
      </c>
      <c r="M111" s="599">
        <v>0</v>
      </c>
      <c r="N111" s="826">
        <v>0</v>
      </c>
      <c r="O111" s="599">
        <v>1</v>
      </c>
      <c r="P111" s="826">
        <v>0.2</v>
      </c>
      <c r="Q111" s="599">
        <v>0</v>
      </c>
      <c r="R111" s="915">
        <v>0</v>
      </c>
      <c r="S111" s="599">
        <v>0</v>
      </c>
      <c r="T111" s="915">
        <v>0</v>
      </c>
      <c r="U111" s="599">
        <v>0</v>
      </c>
      <c r="V111" s="915">
        <v>0</v>
      </c>
      <c r="W111" s="599">
        <v>0</v>
      </c>
      <c r="X111" s="915">
        <v>0</v>
      </c>
      <c r="Y111" s="599">
        <v>0</v>
      </c>
      <c r="Z111" s="915">
        <v>0</v>
      </c>
      <c r="AA111" s="272"/>
      <c r="AB111" s="684">
        <f t="shared" si="37"/>
        <v>0</v>
      </c>
      <c r="AC111" s="745">
        <f t="shared" si="38"/>
        <v>0</v>
      </c>
      <c r="AD111"/>
      <c r="AE111"/>
    </row>
    <row r="112" spans="1:31" ht="17.25" thickTop="1" thickBot="1" x14ac:dyDescent="0.3">
      <c r="A112" s="534"/>
      <c r="B112" s="535"/>
      <c r="C112" s="1282" t="s">
        <v>29</v>
      </c>
      <c r="D112" s="1295"/>
      <c r="E112" s="1282" t="s">
        <v>30</v>
      </c>
      <c r="F112" s="1295"/>
      <c r="G112" s="1280" t="s">
        <v>120</v>
      </c>
      <c r="H112" s="1253"/>
      <c r="I112" s="1280" t="s">
        <v>121</v>
      </c>
      <c r="J112" s="1291"/>
      <c r="K112" s="1280" t="s">
        <v>122</v>
      </c>
      <c r="L112" s="1291"/>
      <c r="M112" s="1269" t="s">
        <v>123</v>
      </c>
      <c r="N112" s="1253"/>
      <c r="O112" s="1252" t="s">
        <v>154</v>
      </c>
      <c r="P112" s="1256"/>
      <c r="Q112" s="1252" t="s">
        <v>150</v>
      </c>
      <c r="R112" s="1253"/>
      <c r="S112" s="1252" t="s">
        <v>164</v>
      </c>
      <c r="T112" s="1253"/>
      <c r="U112" s="1252" t="s">
        <v>182</v>
      </c>
      <c r="V112" s="1253"/>
      <c r="W112" s="1252" t="s">
        <v>195</v>
      </c>
      <c r="X112" s="1253"/>
      <c r="Y112" s="1252" t="s">
        <v>204</v>
      </c>
      <c r="Z112" s="1253"/>
      <c r="AA112" s="664"/>
      <c r="AB112" s="1261"/>
      <c r="AC112" s="1261"/>
      <c r="AD112" s="916"/>
      <c r="AE112"/>
    </row>
    <row r="113" spans="1:31" x14ac:dyDescent="0.2">
      <c r="B113" s="418" t="s">
        <v>131</v>
      </c>
      <c r="C113" s="1"/>
      <c r="D113" s="537"/>
      <c r="E113" s="538"/>
      <c r="F113" s="539"/>
      <c r="G113" s="540"/>
      <c r="H113" s="541"/>
      <c r="I113" s="542"/>
      <c r="J113" s="414"/>
      <c r="K113" s="543"/>
      <c r="L113" s="544"/>
      <c r="M113" s="543"/>
      <c r="N113" s="559"/>
      <c r="O113" s="878"/>
      <c r="P113" s="879"/>
      <c r="Q113" s="543"/>
      <c r="R113" s="559"/>
      <c r="S113" s="543"/>
      <c r="T113" s="559"/>
      <c r="U113" s="95"/>
      <c r="V113" s="847"/>
      <c r="W113" s="543"/>
      <c r="X113" s="559"/>
      <c r="Y113" s="543"/>
      <c r="Z113" s="559"/>
      <c r="AA113" s="4"/>
      <c r="AB113" s="4"/>
      <c r="AC113" s="4"/>
      <c r="AD113"/>
      <c r="AE113"/>
    </row>
    <row r="114" spans="1:31" x14ac:dyDescent="0.2">
      <c r="A114" s="272"/>
      <c r="B114" s="545" t="s">
        <v>110</v>
      </c>
      <c r="C114" s="1302">
        <v>15.45</v>
      </c>
      <c r="D114" s="1303"/>
      <c r="E114" s="548"/>
      <c r="F114" s="549"/>
      <c r="G114" s="550"/>
      <c r="H114" s="551"/>
      <c r="I114" s="1304">
        <v>11.11</v>
      </c>
      <c r="J114" s="1305"/>
      <c r="K114" s="552"/>
      <c r="L114" s="553"/>
      <c r="M114" s="552"/>
      <c r="N114" s="559"/>
      <c r="O114" s="884"/>
      <c r="P114" s="885">
        <v>20.100000000000001</v>
      </c>
      <c r="Q114" s="552"/>
      <c r="R114" s="559"/>
      <c r="S114" s="552"/>
      <c r="T114" s="559"/>
      <c r="U114" s="202"/>
      <c r="V114" s="885">
        <v>22.27</v>
      </c>
      <c r="W114" s="552"/>
      <c r="X114" s="559"/>
      <c r="Y114" s="552"/>
      <c r="Z114" s="559"/>
      <c r="AA114" s="4"/>
      <c r="AB114" s="4"/>
      <c r="AC114" s="880"/>
      <c r="AD114"/>
      <c r="AE114"/>
    </row>
    <row r="115" spans="1:31" x14ac:dyDescent="0.2">
      <c r="A115" s="272"/>
      <c r="B115" s="554" t="s">
        <v>111</v>
      </c>
      <c r="C115" s="546"/>
      <c r="D115" s="547"/>
      <c r="E115" s="548"/>
      <c r="F115" s="549"/>
      <c r="G115" s="550"/>
      <c r="H115" s="551"/>
      <c r="I115" s="560"/>
      <c r="J115" s="561"/>
      <c r="K115" s="552"/>
      <c r="L115" s="553"/>
      <c r="M115" s="552"/>
      <c r="N115" s="559"/>
      <c r="O115" s="884"/>
      <c r="P115" s="885"/>
      <c r="Q115" s="552"/>
      <c r="R115" s="559"/>
      <c r="S115" s="552"/>
      <c r="T115" s="559"/>
      <c r="U115" s="202"/>
      <c r="V115" s="885"/>
      <c r="W115" s="552"/>
      <c r="X115" s="559"/>
      <c r="Y115" s="552"/>
      <c r="Z115" s="559"/>
      <c r="AA115" s="4"/>
      <c r="AB115" s="4"/>
      <c r="AC115" s="880"/>
      <c r="AD115"/>
      <c r="AE115"/>
    </row>
    <row r="116" spans="1:31" x14ac:dyDescent="0.2">
      <c r="A116" s="272"/>
      <c r="B116" s="554" t="s">
        <v>112</v>
      </c>
      <c r="C116" s="600"/>
      <c r="D116" s="611">
        <v>3</v>
      </c>
      <c r="E116" s="548"/>
      <c r="F116" s="549"/>
      <c r="G116" s="550"/>
      <c r="H116" s="551"/>
      <c r="I116" s="1343">
        <v>2.9</v>
      </c>
      <c r="J116" s="1344"/>
      <c r="K116" s="552"/>
      <c r="L116" s="553"/>
      <c r="M116" s="552"/>
      <c r="N116" s="559"/>
      <c r="O116" s="884"/>
      <c r="P116" s="885">
        <v>4</v>
      </c>
      <c r="Q116" s="552"/>
      <c r="R116" s="559"/>
      <c r="S116" s="552"/>
      <c r="T116" s="559"/>
      <c r="U116" s="202"/>
      <c r="V116" s="885">
        <v>6</v>
      </c>
      <c r="W116" s="552"/>
      <c r="X116" s="559"/>
      <c r="Y116" s="552"/>
      <c r="Z116" s="559"/>
      <c r="AA116" s="4"/>
      <c r="AB116" s="4"/>
      <c r="AC116" s="880"/>
      <c r="AD116"/>
      <c r="AE116"/>
    </row>
    <row r="117" spans="1:31" x14ac:dyDescent="0.2">
      <c r="A117" s="272"/>
      <c r="B117" s="545" t="s">
        <v>113</v>
      </c>
      <c r="C117" s="1302">
        <v>11.6</v>
      </c>
      <c r="D117" s="1303"/>
      <c r="E117" s="548"/>
      <c r="F117" s="549"/>
      <c r="G117" s="550"/>
      <c r="H117" s="551"/>
      <c r="I117" s="1304">
        <v>8.6999999999999993</v>
      </c>
      <c r="J117" s="1305"/>
      <c r="K117" s="552"/>
      <c r="L117" s="553"/>
      <c r="M117" s="552"/>
      <c r="N117" s="559"/>
      <c r="O117" s="884"/>
      <c r="P117" s="885">
        <v>3.5</v>
      </c>
      <c r="Q117" s="552"/>
      <c r="R117" s="559"/>
      <c r="S117" s="552"/>
      <c r="T117" s="559"/>
      <c r="U117" s="202"/>
      <c r="V117" s="885">
        <v>2.5</v>
      </c>
      <c r="W117" s="552"/>
      <c r="X117" s="559"/>
      <c r="Y117" s="552"/>
      <c r="Z117" s="559"/>
      <c r="AA117" s="4"/>
      <c r="AB117" s="4"/>
      <c r="AC117" s="880"/>
      <c r="AD117"/>
      <c r="AE117"/>
    </row>
    <row r="118" spans="1:31" x14ac:dyDescent="0.2">
      <c r="A118" s="272"/>
      <c r="B118" s="555" t="s">
        <v>114</v>
      </c>
      <c r="C118" s="1302">
        <v>7.35</v>
      </c>
      <c r="D118" s="1303"/>
      <c r="E118" s="548"/>
      <c r="F118" s="549"/>
      <c r="G118" s="550"/>
      <c r="H118" s="551"/>
      <c r="I118" s="1304">
        <v>10.65</v>
      </c>
      <c r="J118" s="1305"/>
      <c r="K118" s="552"/>
      <c r="L118" s="553"/>
      <c r="M118" s="552"/>
      <c r="N118" s="559"/>
      <c r="O118" s="884"/>
      <c r="P118" s="885">
        <v>15.2</v>
      </c>
      <c r="Q118" s="552"/>
      <c r="R118" s="559"/>
      <c r="S118" s="552"/>
      <c r="T118" s="559"/>
      <c r="U118" s="202"/>
      <c r="V118" s="885">
        <f>14.6+2.9</f>
        <v>17.5</v>
      </c>
      <c r="W118" s="552"/>
      <c r="X118" s="559"/>
      <c r="Y118" s="552"/>
      <c r="Z118" s="559"/>
      <c r="AA118" s="4"/>
      <c r="AB118" s="4"/>
      <c r="AC118" s="880"/>
      <c r="AD118"/>
      <c r="AE118"/>
    </row>
    <row r="119" spans="1:31" x14ac:dyDescent="0.2">
      <c r="A119" s="272"/>
      <c r="B119" s="555" t="s">
        <v>115</v>
      </c>
      <c r="C119" s="1302">
        <f>SUM(C114:D118)</f>
        <v>37.4</v>
      </c>
      <c r="D119" s="1303"/>
      <c r="E119" s="548"/>
      <c r="F119" s="549"/>
      <c r="G119" s="550"/>
      <c r="H119" s="551"/>
      <c r="I119" s="1304">
        <f>SUM(I114:J118)</f>
        <v>33.36</v>
      </c>
      <c r="J119" s="1305"/>
      <c r="K119" s="552"/>
      <c r="L119" s="553"/>
      <c r="M119" s="552"/>
      <c r="N119" s="559"/>
      <c r="O119" s="884"/>
      <c r="P119" s="885">
        <f>SUM(P114:P118)</f>
        <v>42.8</v>
      </c>
      <c r="Q119" s="552"/>
      <c r="R119" s="559"/>
      <c r="S119" s="552"/>
      <c r="T119" s="559"/>
      <c r="U119" s="202"/>
      <c r="V119" s="885">
        <f>SUM(V114:V118)</f>
        <v>48.269999999999996</v>
      </c>
      <c r="W119" s="552"/>
      <c r="X119" s="559"/>
      <c r="Y119" s="552"/>
      <c r="Z119" s="559"/>
      <c r="AA119" s="4"/>
      <c r="AB119" s="4"/>
      <c r="AC119" s="880"/>
      <c r="AD119"/>
      <c r="AE119"/>
    </row>
    <row r="120" spans="1:31" ht="13.5" thickBot="1" x14ac:dyDescent="0.25">
      <c r="A120" s="272"/>
      <c r="B120" s="556" t="s">
        <v>125</v>
      </c>
      <c r="C120" s="1302"/>
      <c r="D120" s="1303"/>
      <c r="E120" s="548"/>
      <c r="F120" s="549"/>
      <c r="G120" s="550"/>
      <c r="H120" s="551"/>
      <c r="I120" s="1302"/>
      <c r="J120" s="1303"/>
      <c r="K120" s="552"/>
      <c r="L120" s="553"/>
      <c r="M120" s="552"/>
      <c r="N120" s="559"/>
      <c r="O120" s="884"/>
      <c r="P120" s="847"/>
      <c r="Q120" s="552"/>
      <c r="R120" s="559"/>
      <c r="S120" s="552"/>
      <c r="T120" s="559"/>
      <c r="U120" s="202"/>
      <c r="V120" s="847"/>
      <c r="W120" s="552"/>
      <c r="X120" s="559"/>
      <c r="Y120" s="552"/>
      <c r="Z120" s="559"/>
      <c r="AA120" s="4"/>
      <c r="AB120" s="4"/>
      <c r="AC120" s="880"/>
      <c r="AD120"/>
      <c r="AE120"/>
    </row>
    <row r="121" spans="1:31" x14ac:dyDescent="0.2">
      <c r="A121" s="272"/>
      <c r="B121" s="545" t="s">
        <v>116</v>
      </c>
      <c r="C121" s="1314">
        <v>2580</v>
      </c>
      <c r="D121" s="1315"/>
      <c r="E121" s="557"/>
      <c r="F121" s="558"/>
      <c r="G121" s="543"/>
      <c r="H121" s="559"/>
      <c r="I121" s="1314">
        <v>1823</v>
      </c>
      <c r="J121" s="1315"/>
      <c r="K121" s="552"/>
      <c r="L121" s="553"/>
      <c r="M121" s="552"/>
      <c r="N121" s="559"/>
      <c r="O121" s="888"/>
      <c r="P121" s="869">
        <v>2472</v>
      </c>
      <c r="Q121" s="552"/>
      <c r="R121" s="559"/>
      <c r="S121" s="552"/>
      <c r="T121" s="559"/>
      <c r="U121" s="202"/>
      <c r="V121" s="869">
        <v>2280</v>
      </c>
      <c r="W121" s="552"/>
      <c r="X121" s="559"/>
      <c r="Y121" s="552"/>
      <c r="Z121" s="559"/>
      <c r="AA121" s="4"/>
      <c r="AB121" s="4"/>
      <c r="AC121" s="890"/>
      <c r="AD121"/>
      <c r="AE121"/>
    </row>
    <row r="122" spans="1:31" x14ac:dyDescent="0.2">
      <c r="A122" s="272"/>
      <c r="B122" s="555" t="s">
        <v>117</v>
      </c>
      <c r="C122" s="1314">
        <v>1305</v>
      </c>
      <c r="D122" s="1315"/>
      <c r="E122" s="557"/>
      <c r="F122" s="558"/>
      <c r="G122" s="543"/>
      <c r="H122" s="559"/>
      <c r="I122" s="1314">
        <v>933</v>
      </c>
      <c r="J122" s="1315"/>
      <c r="K122" s="552"/>
      <c r="L122" s="553"/>
      <c r="M122" s="552"/>
      <c r="N122" s="559"/>
      <c r="O122" s="888"/>
      <c r="P122" s="869">
        <v>3621</v>
      </c>
      <c r="Q122" s="552"/>
      <c r="R122" s="559"/>
      <c r="S122" s="552"/>
      <c r="T122" s="559"/>
      <c r="U122" s="202"/>
      <c r="V122" s="869">
        <v>2607</v>
      </c>
      <c r="W122" s="552"/>
      <c r="X122" s="559"/>
      <c r="Y122" s="552"/>
      <c r="Z122" s="559"/>
      <c r="AA122" s="4"/>
      <c r="AB122" s="4"/>
      <c r="AC122" s="890"/>
      <c r="AD122"/>
      <c r="AE122"/>
    </row>
    <row r="123" spans="1:31" x14ac:dyDescent="0.2">
      <c r="A123" s="272"/>
      <c r="B123" s="555" t="s">
        <v>118</v>
      </c>
      <c r="C123" s="1314">
        <v>3621</v>
      </c>
      <c r="D123" s="1315"/>
      <c r="E123" s="557"/>
      <c r="F123" s="558"/>
      <c r="G123" s="543"/>
      <c r="H123" s="559"/>
      <c r="I123" s="1314">
        <v>3876</v>
      </c>
      <c r="J123" s="1315"/>
      <c r="K123" s="552"/>
      <c r="L123" s="553"/>
      <c r="M123" s="552"/>
      <c r="N123" s="559"/>
      <c r="O123" s="888"/>
      <c r="P123" s="869">
        <v>3186</v>
      </c>
      <c r="Q123" s="552"/>
      <c r="R123" s="559"/>
      <c r="S123" s="552"/>
      <c r="T123" s="559"/>
      <c r="U123" s="202"/>
      <c r="V123" s="869">
        <f>3519+936</f>
        <v>4455</v>
      </c>
      <c r="W123" s="552"/>
      <c r="X123" s="559"/>
      <c r="Y123" s="552"/>
      <c r="Z123" s="559"/>
      <c r="AA123" s="4"/>
      <c r="AB123" s="4"/>
      <c r="AC123" s="890"/>
      <c r="AD123"/>
      <c r="AE123"/>
    </row>
    <row r="124" spans="1:31" x14ac:dyDescent="0.2">
      <c r="A124" s="272"/>
      <c r="B124" s="555" t="s">
        <v>130</v>
      </c>
      <c r="C124" s="1314">
        <f>SUM(C121:D123)</f>
        <v>7506</v>
      </c>
      <c r="D124" s="1315"/>
      <c r="E124" s="557"/>
      <c r="F124" s="558"/>
      <c r="G124" s="543"/>
      <c r="H124" s="559"/>
      <c r="I124" s="1314">
        <f>SUM(I121:J123)</f>
        <v>6632</v>
      </c>
      <c r="J124" s="1315"/>
      <c r="K124" s="552"/>
      <c r="L124" s="553"/>
      <c r="M124" s="552"/>
      <c r="N124" s="559"/>
      <c r="O124" s="888"/>
      <c r="P124" s="869">
        <f>SUM(P121:P123)</f>
        <v>9279</v>
      </c>
      <c r="Q124" s="552"/>
      <c r="R124" s="559"/>
      <c r="S124" s="552"/>
      <c r="T124" s="559"/>
      <c r="U124" s="202"/>
      <c r="V124" s="869">
        <f>SUM(V121:V123)</f>
        <v>9342</v>
      </c>
      <c r="W124" s="552"/>
      <c r="X124" s="559"/>
      <c r="Y124" s="552"/>
      <c r="Z124" s="559"/>
      <c r="AA124" s="4"/>
      <c r="AB124" s="4"/>
      <c r="AC124" s="890"/>
      <c r="AD124"/>
      <c r="AE124"/>
    </row>
    <row r="125" spans="1:31" ht="13.5" thickBot="1" x14ac:dyDescent="0.25">
      <c r="A125" s="272"/>
      <c r="B125" s="556" t="s">
        <v>126</v>
      </c>
      <c r="C125" s="1304"/>
      <c r="D125" s="1300"/>
      <c r="E125" s="557"/>
      <c r="F125" s="558"/>
      <c r="G125" s="543"/>
      <c r="H125" s="559"/>
      <c r="I125" s="1304"/>
      <c r="J125" s="1300"/>
      <c r="K125" s="552"/>
      <c r="L125" s="553"/>
      <c r="M125" s="552"/>
      <c r="N125" s="559"/>
      <c r="O125" s="891"/>
      <c r="P125" s="885"/>
      <c r="Q125" s="552"/>
      <c r="R125" s="559"/>
      <c r="S125" s="552"/>
      <c r="T125" s="559"/>
      <c r="U125" s="202"/>
      <c r="V125" s="885"/>
      <c r="W125" s="552"/>
      <c r="X125" s="559"/>
      <c r="Y125" s="552"/>
      <c r="Z125" s="559"/>
      <c r="AA125" s="4"/>
      <c r="AB125" s="4"/>
      <c r="AC125" s="890"/>
      <c r="AD125"/>
      <c r="AE125"/>
    </row>
    <row r="126" spans="1:31" x14ac:dyDescent="0.2">
      <c r="A126" s="272"/>
      <c r="B126" s="545" t="s">
        <v>127</v>
      </c>
      <c r="C126" s="1312">
        <f>C121/C114</f>
        <v>166.99029126213594</v>
      </c>
      <c r="D126" s="1313"/>
      <c r="E126" s="562"/>
      <c r="F126" s="563"/>
      <c r="G126" s="564"/>
      <c r="H126" s="565"/>
      <c r="I126" s="1312">
        <f>I121/I114</f>
        <v>164.08640864086411</v>
      </c>
      <c r="J126" s="1313"/>
      <c r="K126" s="552"/>
      <c r="L126" s="566"/>
      <c r="M126" s="552"/>
      <c r="N126" s="559"/>
      <c r="O126" s="891"/>
      <c r="P126" s="870">
        <f>P121/P114</f>
        <v>122.98507462686567</v>
      </c>
      <c r="Q126" s="552"/>
      <c r="R126" s="559"/>
      <c r="S126" s="552"/>
      <c r="T126" s="559"/>
      <c r="U126" s="202"/>
      <c r="V126" s="870">
        <f>V121/V114</f>
        <v>102.37988325101033</v>
      </c>
      <c r="W126" s="552"/>
      <c r="X126" s="559"/>
      <c r="Y126" s="552"/>
      <c r="Z126" s="559"/>
      <c r="AA126" s="4"/>
      <c r="AB126" s="4"/>
      <c r="AC126" s="890"/>
      <c r="AD126"/>
      <c r="AE126"/>
    </row>
    <row r="127" spans="1:31" x14ac:dyDescent="0.2">
      <c r="A127" s="272"/>
      <c r="B127" s="555" t="s">
        <v>128</v>
      </c>
      <c r="C127" s="1312">
        <f>C122/D116</f>
        <v>435</v>
      </c>
      <c r="D127" s="1313"/>
      <c r="E127" s="562"/>
      <c r="F127" s="563"/>
      <c r="G127" s="564"/>
      <c r="H127" s="565"/>
      <c r="I127" s="1312">
        <f>I122/I116</f>
        <v>321.72413793103448</v>
      </c>
      <c r="J127" s="1313"/>
      <c r="K127" s="552"/>
      <c r="L127" s="566"/>
      <c r="M127" s="552"/>
      <c r="N127" s="559"/>
      <c r="O127" s="891"/>
      <c r="P127" s="870">
        <f>P122/P116</f>
        <v>905.25</v>
      </c>
      <c r="Q127" s="552"/>
      <c r="R127" s="559"/>
      <c r="S127" s="552"/>
      <c r="T127" s="559"/>
      <c r="U127" s="202"/>
      <c r="V127" s="870">
        <f>V122/(V116+V117)</f>
        <v>306.70588235294116</v>
      </c>
      <c r="W127" s="552"/>
      <c r="X127" s="559"/>
      <c r="Y127" s="552"/>
      <c r="Z127" s="559"/>
      <c r="AA127" s="4"/>
      <c r="AB127" s="4"/>
      <c r="AC127" s="890"/>
      <c r="AD127"/>
      <c r="AE127"/>
    </row>
    <row r="128" spans="1:31" x14ac:dyDescent="0.2">
      <c r="A128" s="272"/>
      <c r="B128" s="555" t="s">
        <v>129</v>
      </c>
      <c r="C128" s="1312">
        <f>C123/C118</f>
        <v>492.65306122448982</v>
      </c>
      <c r="D128" s="1313"/>
      <c r="E128" s="562"/>
      <c r="F128" s="563"/>
      <c r="G128" s="564"/>
      <c r="H128" s="565"/>
      <c r="I128" s="1312">
        <f>I123/I118</f>
        <v>363.94366197183098</v>
      </c>
      <c r="J128" s="1313"/>
      <c r="K128" s="552"/>
      <c r="L128" s="566"/>
      <c r="M128" s="552"/>
      <c r="N128" s="559"/>
      <c r="O128" s="891"/>
      <c r="P128" s="870">
        <f>P123/P118</f>
        <v>209.60526315789474</v>
      </c>
      <c r="Q128" s="552"/>
      <c r="R128" s="559"/>
      <c r="S128" s="552"/>
      <c r="T128" s="559"/>
      <c r="U128" s="202"/>
      <c r="V128" s="870">
        <f>V123/V118</f>
        <v>254.57142857142858</v>
      </c>
      <c r="W128" s="552"/>
      <c r="X128" s="559"/>
      <c r="Y128" s="552"/>
      <c r="Z128" s="559"/>
      <c r="AA128" s="4"/>
      <c r="AB128" s="4"/>
      <c r="AC128" s="890"/>
      <c r="AD128"/>
      <c r="AE128"/>
    </row>
    <row r="129" spans="1:31" ht="13.5" thickBot="1" x14ac:dyDescent="0.25">
      <c r="A129" s="272"/>
      <c r="B129" s="568" t="s">
        <v>119</v>
      </c>
      <c r="C129" s="1310">
        <f>C124/C119</f>
        <v>200.69518716577542</v>
      </c>
      <c r="D129" s="1311"/>
      <c r="E129" s="569"/>
      <c r="F129" s="570"/>
      <c r="G129" s="571"/>
      <c r="H129" s="572"/>
      <c r="I129" s="1310">
        <f>I124/I119</f>
        <v>198.80095923261391</v>
      </c>
      <c r="J129" s="1311"/>
      <c r="K129" s="573"/>
      <c r="L129" s="574"/>
      <c r="M129" s="573"/>
      <c r="N129" s="574"/>
      <c r="O129" s="892"/>
      <c r="P129" s="871">
        <f>P124/P119</f>
        <v>216.79906542056077</v>
      </c>
      <c r="Q129" s="573"/>
      <c r="R129" s="574"/>
      <c r="S129" s="573"/>
      <c r="T129" s="574"/>
      <c r="U129" s="413"/>
      <c r="V129" s="871">
        <f>V124/V119</f>
        <v>193.53635798632692</v>
      </c>
      <c r="W129" s="573"/>
      <c r="X129" s="574"/>
      <c r="Y129" s="573"/>
      <c r="Z129" s="574"/>
      <c r="AA129" s="4"/>
      <c r="AB129" s="4"/>
      <c r="AC129" s="890"/>
      <c r="AD129"/>
      <c r="AE129"/>
    </row>
    <row r="130" spans="1:31" ht="13.5" thickTop="1" x14ac:dyDescent="0.2">
      <c r="B130" s="868" t="str">
        <f>'HE Summary'!B118</f>
        <v>*Note: For the 2009 collection cycle and later, Instructional FTE was defined according to the national Delaware Study of Instructional Costs and Productivity</v>
      </c>
    </row>
  </sheetData>
  <mergeCells count="129">
    <mergeCell ref="W112:X112"/>
    <mergeCell ref="W7:X7"/>
    <mergeCell ref="W37:X37"/>
    <mergeCell ref="W45:X45"/>
    <mergeCell ref="W52:X52"/>
    <mergeCell ref="W77:X77"/>
    <mergeCell ref="W107:X107"/>
    <mergeCell ref="U112:V112"/>
    <mergeCell ref="U7:V7"/>
    <mergeCell ref="U37:V37"/>
    <mergeCell ref="U45:V45"/>
    <mergeCell ref="U52:V52"/>
    <mergeCell ref="U77:V77"/>
    <mergeCell ref="U107:V107"/>
    <mergeCell ref="C48:D48"/>
    <mergeCell ref="M7:N7"/>
    <mergeCell ref="M37:N37"/>
    <mergeCell ref="M52:N52"/>
    <mergeCell ref="M77:N77"/>
    <mergeCell ref="O77:P77"/>
    <mergeCell ref="O107:P107"/>
    <mergeCell ref="O112:P112"/>
    <mergeCell ref="I116:J116"/>
    <mergeCell ref="K107:L107"/>
    <mergeCell ref="M107:N107"/>
    <mergeCell ref="K112:L112"/>
    <mergeCell ref="M112:N112"/>
    <mergeCell ref="I114:J114"/>
    <mergeCell ref="I7:J7"/>
    <mergeCell ref="I37:J37"/>
    <mergeCell ref="I52:J52"/>
    <mergeCell ref="I77:J77"/>
    <mergeCell ref="K7:L7"/>
    <mergeCell ref="K37:L37"/>
    <mergeCell ref="K52:L52"/>
    <mergeCell ref="K77:L77"/>
    <mergeCell ref="K45:L45"/>
    <mergeCell ref="G37:H37"/>
    <mergeCell ref="AB77:AC77"/>
    <mergeCell ref="AB112:AC112"/>
    <mergeCell ref="AB7:AC7"/>
    <mergeCell ref="AB107:AC107"/>
    <mergeCell ref="AB37:AC37"/>
    <mergeCell ref="AB45:AC45"/>
    <mergeCell ref="AB52:AC52"/>
    <mergeCell ref="I46:J46"/>
    <mergeCell ref="C129:D129"/>
    <mergeCell ref="I129:J129"/>
    <mergeCell ref="C45:D45"/>
    <mergeCell ref="E45:F45"/>
    <mergeCell ref="G45:H45"/>
    <mergeCell ref="I45:J45"/>
    <mergeCell ref="C47:D47"/>
    <mergeCell ref="E47:F47"/>
    <mergeCell ref="G47:H47"/>
    <mergeCell ref="I47:J47"/>
    <mergeCell ref="C127:D127"/>
    <mergeCell ref="I127:J127"/>
    <mergeCell ref="C128:D128"/>
    <mergeCell ref="I128:J128"/>
    <mergeCell ref="I120:J120"/>
    <mergeCell ref="C125:D125"/>
    <mergeCell ref="G52:H52"/>
    <mergeCell ref="G77:H77"/>
    <mergeCell ref="I117:J117"/>
    <mergeCell ref="G46:H46"/>
    <mergeCell ref="C121:D121"/>
    <mergeCell ref="E37:F37"/>
    <mergeCell ref="C37:D37"/>
    <mergeCell ref="C117:D117"/>
    <mergeCell ref="C118:D118"/>
    <mergeCell ref="C46:D46"/>
    <mergeCell ref="E46:F46"/>
    <mergeCell ref="C114:D114"/>
    <mergeCell ref="E48:F48"/>
    <mergeCell ref="G48:H48"/>
    <mergeCell ref="I48:J48"/>
    <mergeCell ref="C52:D52"/>
    <mergeCell ref="C77:D77"/>
    <mergeCell ref="C107:D107"/>
    <mergeCell ref="E107:F107"/>
    <mergeCell ref="G107:H107"/>
    <mergeCell ref="I107:J107"/>
    <mergeCell ref="E52:F52"/>
    <mergeCell ref="E77:F77"/>
    <mergeCell ref="G112:H112"/>
    <mergeCell ref="I112:J112"/>
    <mergeCell ref="I125:J125"/>
    <mergeCell ref="C126:D126"/>
    <mergeCell ref="I126:J126"/>
    <mergeCell ref="Q107:R107"/>
    <mergeCell ref="Q112:R112"/>
    <mergeCell ref="C123:D123"/>
    <mergeCell ref="C112:D112"/>
    <mergeCell ref="E112:F112"/>
    <mergeCell ref="I124:J124"/>
    <mergeCell ref="I122:J122"/>
    <mergeCell ref="I123:J123"/>
    <mergeCell ref="C124:D124"/>
    <mergeCell ref="I121:J121"/>
    <mergeCell ref="I118:J118"/>
    <mergeCell ref="I119:J119"/>
    <mergeCell ref="C122:D122"/>
    <mergeCell ref="C119:D119"/>
    <mergeCell ref="C120:D120"/>
    <mergeCell ref="Y7:Z7"/>
    <mergeCell ref="Y37:Z37"/>
    <mergeCell ref="Y45:Z45"/>
    <mergeCell ref="Y52:Z52"/>
    <mergeCell ref="Y77:Z77"/>
    <mergeCell ref="Y107:Z107"/>
    <mergeCell ref="Y112:Z112"/>
    <mergeCell ref="M45:N45"/>
    <mergeCell ref="Q7:R7"/>
    <mergeCell ref="Q37:R37"/>
    <mergeCell ref="Q45:R45"/>
    <mergeCell ref="Q52:R52"/>
    <mergeCell ref="Q77:R77"/>
    <mergeCell ref="S112:T112"/>
    <mergeCell ref="S7:T7"/>
    <mergeCell ref="S37:T37"/>
    <mergeCell ref="S45:T45"/>
    <mergeCell ref="S52:T52"/>
    <mergeCell ref="S77:T77"/>
    <mergeCell ref="S107:T107"/>
    <mergeCell ref="O7:P7"/>
    <mergeCell ref="O37:P37"/>
    <mergeCell ref="O45:P45"/>
    <mergeCell ref="O52:P52"/>
  </mergeCells>
  <phoneticPr fontId="0" type="noConversion"/>
  <printOptions horizontalCentered="1"/>
  <pageMargins left="0.5" right="0.5" top="0.5" bottom="0.5" header="0.5" footer="0.5"/>
  <pageSetup scale="61" orientation="landscape" r:id="rId1"/>
  <headerFooter alignWithMargins="0">
    <oddFooter>&amp;R&amp;P of &amp;N
&amp;D</oddFooter>
  </headerFooter>
  <rowBreaks count="1" manualBreakCount="1">
    <brk id="73" max="16383" man="1"/>
  </rowBreaks>
  <ignoredErrors>
    <ignoredError sqref="S87:S106 W96:W10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9"/>
  <sheetViews>
    <sheetView view="pageBreakPreview" zoomScaleNormal="100" workbookViewId="0">
      <pane xSplit="2" ySplit="1" topLeftCell="O59" activePane="bottomRight" state="frozen"/>
      <selection activeCell="Y91" sqref="Y91:Z91"/>
      <selection pane="topRight" activeCell="Y91" sqref="Y91:Z91"/>
      <selection pane="bottomLeft" activeCell="Y91" sqref="Y91:Z91"/>
      <selection pane="bottomRight" activeCell="Y91" sqref="Y91:Z91"/>
    </sheetView>
  </sheetViews>
  <sheetFormatPr defaultColWidth="10.28515625" defaultRowHeight="12.75" x14ac:dyDescent="0.2"/>
  <cols>
    <col min="1" max="1" width="3.7109375" customWidth="1"/>
    <col min="2" max="2" width="30.140625" customWidth="1"/>
    <col min="3" max="3" width="7.7109375" hidden="1" customWidth="1"/>
    <col min="4" max="4" width="10.7109375" hidden="1" customWidth="1"/>
    <col min="5" max="5" width="7.7109375" hidden="1" customWidth="1"/>
    <col min="6" max="6" width="10.7109375" hidden="1" customWidth="1"/>
    <col min="7" max="7" width="7.7109375" style="199" hidden="1" customWidth="1"/>
    <col min="8" max="8" width="10.7109375" style="199" hidden="1" customWidth="1"/>
    <col min="9" max="9" width="7.7109375" style="199" hidden="1" customWidth="1"/>
    <col min="10" max="10" width="10.7109375" style="199" hidden="1" customWidth="1"/>
    <col min="11" max="11" width="7.7109375" hidden="1" customWidth="1"/>
    <col min="12" max="12" width="10.7109375" hidden="1" customWidth="1"/>
    <col min="13" max="13" width="7.7109375" style="916" hidden="1" customWidth="1"/>
    <col min="14" max="14" width="10.7109375" style="916" hidden="1" customWidth="1"/>
    <col min="15" max="15" width="7.7109375" customWidth="1"/>
    <col min="16" max="16" width="10.7109375" customWidth="1"/>
    <col min="17" max="17" width="7.7109375" customWidth="1"/>
    <col min="18" max="18" width="10.7109375" customWidth="1"/>
    <col min="19" max="19" width="7.7109375" customWidth="1"/>
    <col min="20" max="20" width="10.7109375" customWidth="1"/>
    <col min="21" max="21" width="7.7109375" customWidth="1"/>
    <col min="22" max="22" width="10.7109375" customWidth="1"/>
    <col min="23" max="23" width="7.7109375" customWidth="1"/>
    <col min="24" max="24" width="10.7109375" customWidth="1"/>
    <col min="25" max="25" width="7.7109375" customWidth="1"/>
    <col min="26" max="26" width="10.7109375" customWidth="1"/>
    <col min="27" max="27" width="2.140625" customWidth="1"/>
    <col min="28" max="28" width="7.7109375" customWidth="1"/>
    <col min="29" max="29" width="10.7109375" customWidth="1"/>
    <col min="30" max="30" width="1.85546875" customWidth="1"/>
  </cols>
  <sheetData>
    <row r="1" spans="1:30" ht="18" x14ac:dyDescent="0.25">
      <c r="A1" s="768" t="s">
        <v>205</v>
      </c>
      <c r="B1" s="768"/>
      <c r="C1" s="768"/>
      <c r="D1" s="768"/>
      <c r="E1" s="768"/>
      <c r="F1" s="768"/>
      <c r="G1" s="768"/>
      <c r="H1" s="768"/>
      <c r="I1" s="1234"/>
      <c r="J1" s="1234"/>
      <c r="K1" s="769"/>
      <c r="L1" s="769"/>
      <c r="M1" s="1242"/>
      <c r="N1" s="1242"/>
      <c r="O1" s="769"/>
      <c r="P1" s="769"/>
      <c r="Q1" s="769"/>
      <c r="R1" s="769"/>
      <c r="S1" s="769"/>
      <c r="T1" s="769"/>
      <c r="U1" s="769"/>
      <c r="V1" s="769"/>
      <c r="W1" s="769"/>
      <c r="X1" s="769"/>
      <c r="Y1" s="769"/>
      <c r="Z1" s="769"/>
      <c r="AA1" s="769"/>
      <c r="AB1" s="769"/>
      <c r="AC1" s="769"/>
    </row>
    <row r="2" spans="1:30" ht="12" customHeight="1" x14ac:dyDescent="0.2">
      <c r="A2" s="1"/>
      <c r="B2" s="1"/>
      <c r="C2" s="1"/>
      <c r="D2" s="1"/>
      <c r="E2" s="1"/>
      <c r="F2" s="1"/>
      <c r="G2" s="95"/>
      <c r="H2" s="95"/>
      <c r="I2" s="95"/>
      <c r="J2" s="95"/>
    </row>
    <row r="3" spans="1:30" x14ac:dyDescent="0.2">
      <c r="A3" s="3" t="s">
        <v>192</v>
      </c>
      <c r="B3" s="95"/>
      <c r="C3" s="1"/>
      <c r="D3" s="1"/>
      <c r="E3" s="1"/>
      <c r="F3" s="1"/>
      <c r="G3" s="95"/>
      <c r="H3" s="95"/>
      <c r="I3" s="95"/>
      <c r="J3" s="95"/>
    </row>
    <row r="4" spans="1:30" ht="12" customHeight="1" x14ac:dyDescent="0.2">
      <c r="A4" s="1"/>
      <c r="B4" s="1"/>
      <c r="C4" s="1"/>
      <c r="D4" s="1"/>
      <c r="E4" s="1"/>
      <c r="F4" s="1"/>
      <c r="G4" s="95"/>
      <c r="H4" s="95"/>
      <c r="I4" s="95"/>
      <c r="J4" s="95"/>
      <c r="AC4" t="s">
        <v>19</v>
      </c>
    </row>
    <row r="5" spans="1:30" x14ac:dyDescent="0.2">
      <c r="A5" s="3" t="s">
        <v>45</v>
      </c>
      <c r="B5" s="1"/>
      <c r="C5" s="1"/>
      <c r="D5" s="1"/>
      <c r="E5" s="1"/>
      <c r="F5" s="1"/>
      <c r="G5" s="95"/>
      <c r="H5" s="95"/>
      <c r="I5" s="95"/>
      <c r="J5" s="95"/>
      <c r="Y5" s="1160"/>
    </row>
    <row r="6" spans="1:30" ht="12" customHeight="1" thickBot="1" x14ac:dyDescent="0.25">
      <c r="A6" s="936"/>
      <c r="B6" s="1"/>
      <c r="C6" s="1"/>
      <c r="D6" s="1"/>
      <c r="E6" s="1"/>
      <c r="F6" s="1"/>
      <c r="G6" s="95"/>
      <c r="H6" s="95"/>
      <c r="I6" s="95"/>
      <c r="J6" s="95"/>
    </row>
    <row r="7" spans="1:30" ht="14.25" thickTop="1" thickBot="1" x14ac:dyDescent="0.25">
      <c r="A7" s="1"/>
      <c r="B7" s="41"/>
      <c r="C7" s="9" t="s">
        <v>27</v>
      </c>
      <c r="D7" s="20"/>
      <c r="E7" s="9" t="s">
        <v>28</v>
      </c>
      <c r="F7" s="6"/>
      <c r="G7" s="226" t="s">
        <v>83</v>
      </c>
      <c r="H7" s="343"/>
      <c r="I7" s="1250" t="s">
        <v>93</v>
      </c>
      <c r="J7" s="1250"/>
      <c r="K7" s="1267" t="s">
        <v>94</v>
      </c>
      <c r="L7" s="1250"/>
      <c r="M7" s="1267" t="s">
        <v>100</v>
      </c>
      <c r="N7" s="1251"/>
      <c r="O7" s="1250" t="s">
        <v>143</v>
      </c>
      <c r="P7" s="1251"/>
      <c r="Q7" s="1250" t="s">
        <v>149</v>
      </c>
      <c r="R7" s="1251"/>
      <c r="S7" s="1250" t="s">
        <v>167</v>
      </c>
      <c r="T7" s="1251"/>
      <c r="U7" s="1250" t="s">
        <v>181</v>
      </c>
      <c r="V7" s="1251"/>
      <c r="W7" s="1250" t="s">
        <v>194</v>
      </c>
      <c r="X7" s="1251"/>
      <c r="Y7" s="1250" t="s">
        <v>203</v>
      </c>
      <c r="Z7" s="1358"/>
      <c r="AB7" s="1259" t="s">
        <v>133</v>
      </c>
      <c r="AC7" s="1268"/>
    </row>
    <row r="8" spans="1:30" x14ac:dyDescent="0.2">
      <c r="A8" s="1"/>
      <c r="B8" s="42"/>
      <c r="C8" s="10" t="s">
        <v>0</v>
      </c>
      <c r="D8" s="22" t="s">
        <v>1</v>
      </c>
      <c r="E8" s="10" t="s">
        <v>0</v>
      </c>
      <c r="F8" s="7" t="s">
        <v>1</v>
      </c>
      <c r="G8" s="227" t="s">
        <v>0</v>
      </c>
      <c r="H8" s="333" t="s">
        <v>1</v>
      </c>
      <c r="I8" s="299" t="s">
        <v>0</v>
      </c>
      <c r="J8" s="349" t="s">
        <v>1</v>
      </c>
      <c r="K8" s="227" t="s">
        <v>0</v>
      </c>
      <c r="L8" s="349" t="s">
        <v>1</v>
      </c>
      <c r="M8" s="227" t="s">
        <v>0</v>
      </c>
      <c r="N8" s="333" t="s">
        <v>1</v>
      </c>
      <c r="O8" s="299" t="s">
        <v>0</v>
      </c>
      <c r="P8" s="333" t="s">
        <v>1</v>
      </c>
      <c r="Q8" s="299" t="s">
        <v>0</v>
      </c>
      <c r="R8" s="333" t="s">
        <v>1</v>
      </c>
      <c r="S8" s="299" t="s">
        <v>0</v>
      </c>
      <c r="T8" s="333" t="s">
        <v>1</v>
      </c>
      <c r="U8" s="299" t="s">
        <v>0</v>
      </c>
      <c r="V8" s="333" t="s">
        <v>1</v>
      </c>
      <c r="W8" s="299" t="s">
        <v>0</v>
      </c>
      <c r="X8" s="333" t="s">
        <v>1</v>
      </c>
      <c r="Y8" s="299" t="s">
        <v>0</v>
      </c>
      <c r="Z8" s="1233" t="s">
        <v>1</v>
      </c>
      <c r="AB8" s="1232" t="s">
        <v>191</v>
      </c>
      <c r="AC8" s="1231" t="s">
        <v>190</v>
      </c>
    </row>
    <row r="9" spans="1:30" ht="13.5" thickBot="1" x14ac:dyDescent="0.25">
      <c r="A9" s="1"/>
      <c r="B9" s="43"/>
      <c r="C9" s="1229" t="s">
        <v>2</v>
      </c>
      <c r="D9" s="1230" t="s">
        <v>3</v>
      </c>
      <c r="E9" s="1229" t="s">
        <v>2</v>
      </c>
      <c r="F9" s="1228" t="s">
        <v>3</v>
      </c>
      <c r="G9" s="1226" t="s">
        <v>2</v>
      </c>
      <c r="H9" s="1225" t="s">
        <v>3</v>
      </c>
      <c r="I9" s="1224" t="s">
        <v>2</v>
      </c>
      <c r="J9" s="1227" t="s">
        <v>3</v>
      </c>
      <c r="K9" s="1226" t="s">
        <v>2</v>
      </c>
      <c r="L9" s="1227" t="s">
        <v>3</v>
      </c>
      <c r="M9" s="1226" t="s">
        <v>2</v>
      </c>
      <c r="N9" s="1225" t="s">
        <v>197</v>
      </c>
      <c r="O9" s="1224" t="s">
        <v>2</v>
      </c>
      <c r="P9" s="1225" t="s">
        <v>197</v>
      </c>
      <c r="Q9" s="1224" t="s">
        <v>2</v>
      </c>
      <c r="R9" s="1225" t="s">
        <v>197</v>
      </c>
      <c r="S9" s="1224" t="s">
        <v>2</v>
      </c>
      <c r="T9" s="1225" t="s">
        <v>197</v>
      </c>
      <c r="U9" s="1224" t="s">
        <v>2</v>
      </c>
      <c r="V9" s="1225" t="s">
        <v>197</v>
      </c>
      <c r="W9" s="1224" t="s">
        <v>2</v>
      </c>
      <c r="X9" s="1225" t="s">
        <v>3</v>
      </c>
      <c r="Y9" s="1224" t="s">
        <v>2</v>
      </c>
      <c r="Z9" s="1223" t="s">
        <v>3</v>
      </c>
      <c r="AB9" s="1222" t="s">
        <v>2</v>
      </c>
      <c r="AC9" s="1221" t="s">
        <v>3</v>
      </c>
    </row>
    <row r="10" spans="1:30" x14ac:dyDescent="0.2">
      <c r="A10" s="1"/>
      <c r="B10" s="44" t="s">
        <v>4</v>
      </c>
      <c r="C10" s="1219"/>
      <c r="D10" s="1220"/>
      <c r="E10" s="1219"/>
      <c r="F10" s="1218"/>
      <c r="G10" s="1217"/>
      <c r="H10" s="812"/>
      <c r="I10" s="1216"/>
      <c r="J10" s="352"/>
      <c r="K10" s="1217"/>
      <c r="L10" s="352"/>
      <c r="M10" s="1217"/>
      <c r="N10" s="812"/>
      <c r="O10" s="1216"/>
      <c r="P10" s="812"/>
      <c r="Q10" s="1216"/>
      <c r="R10" s="812"/>
      <c r="S10" s="1216"/>
      <c r="T10" s="812"/>
      <c r="U10" s="1216"/>
      <c r="V10" s="812"/>
      <c r="W10" s="1216"/>
      <c r="X10" s="812"/>
      <c r="Y10" s="1216"/>
      <c r="Z10" s="1215"/>
      <c r="AB10" s="624"/>
      <c r="AC10" s="625"/>
    </row>
    <row r="11" spans="1:30" s="1160" customFormat="1" x14ac:dyDescent="0.2">
      <c r="A11" s="1174"/>
      <c r="B11" s="1214" t="s">
        <v>189</v>
      </c>
      <c r="C11" s="1212"/>
      <c r="D11" s="1213"/>
      <c r="E11" s="1212"/>
      <c r="F11" s="1211"/>
      <c r="G11" s="1188"/>
      <c r="H11" s="1209"/>
      <c r="I11" s="1186"/>
      <c r="J11" s="1210"/>
      <c r="K11" s="1188"/>
      <c r="L11" s="1210"/>
      <c r="M11" s="1188"/>
      <c r="N11" s="1209"/>
      <c r="O11" s="1186"/>
      <c r="P11" s="1209"/>
      <c r="Q11" s="1186"/>
      <c r="R11" s="1209"/>
      <c r="S11" s="1186"/>
      <c r="T11" s="1209"/>
      <c r="U11" s="1186"/>
      <c r="V11" s="1209"/>
      <c r="W11" s="1186"/>
      <c r="X11" s="1209"/>
      <c r="Y11" s="1186"/>
      <c r="Z11" s="1208"/>
      <c r="AB11" s="666"/>
      <c r="AC11" s="773"/>
      <c r="AD11" s="1155"/>
    </row>
    <row r="12" spans="1:30" s="1160" customFormat="1" x14ac:dyDescent="0.2">
      <c r="A12" s="1174"/>
      <c r="B12" s="1207" t="s">
        <v>134</v>
      </c>
      <c r="C12" s="1183">
        <v>463</v>
      </c>
      <c r="D12" s="1182">
        <v>76</v>
      </c>
      <c r="E12" s="1183">
        <v>498</v>
      </c>
      <c r="F12" s="1180">
        <f>87+2</f>
        <v>89</v>
      </c>
      <c r="G12" s="1206">
        <v>559</v>
      </c>
      <c r="H12" s="1177">
        <f>99+1</f>
        <v>100</v>
      </c>
      <c r="I12" s="1205">
        <v>408</v>
      </c>
      <c r="J12" s="1178">
        <f>113+1</f>
        <v>114</v>
      </c>
      <c r="K12" s="1204">
        <v>380</v>
      </c>
      <c r="L12" s="1178">
        <f>99+1</f>
        <v>100</v>
      </c>
      <c r="M12" s="1204">
        <v>363</v>
      </c>
      <c r="N12" s="1177">
        <v>102</v>
      </c>
      <c r="O12" s="1203">
        <v>361</v>
      </c>
      <c r="P12" s="1177">
        <v>87</v>
      </c>
      <c r="Q12" s="1186">
        <v>386</v>
      </c>
      <c r="R12" s="1177">
        <f>105-11</f>
        <v>94</v>
      </c>
      <c r="S12" s="1186">
        <v>431</v>
      </c>
      <c r="T12" s="1177">
        <v>93</v>
      </c>
      <c r="U12" s="1186">
        <v>513</v>
      </c>
      <c r="V12" s="1177">
        <v>101</v>
      </c>
      <c r="W12" s="1186">
        <v>592</v>
      </c>
      <c r="X12" s="1177">
        <f>109+14-16</f>
        <v>107</v>
      </c>
      <c r="Y12" s="1186">
        <v>672</v>
      </c>
      <c r="Z12" s="1176"/>
      <c r="AB12" s="666">
        <f>AVERAGE(W12,U12,S12,Q12,Y12)</f>
        <v>518.79999999999995</v>
      </c>
      <c r="AC12" s="1175">
        <f t="shared" ref="AC12:AC14" si="0">AVERAGE(X12,V12,T12,R12,Z12)</f>
        <v>98.75</v>
      </c>
      <c r="AD12" s="1155"/>
    </row>
    <row r="13" spans="1:30" s="1160" customFormat="1" x14ac:dyDescent="0.2">
      <c r="A13" s="1174"/>
      <c r="B13" s="1202" t="s">
        <v>47</v>
      </c>
      <c r="C13" s="1193"/>
      <c r="D13" s="1194"/>
      <c r="E13" s="1193"/>
      <c r="F13" s="1192"/>
      <c r="G13" s="1201"/>
      <c r="H13" s="1197"/>
      <c r="I13" s="1200"/>
      <c r="J13" s="1199"/>
      <c r="K13" s="1198"/>
      <c r="L13" s="1199" t="s">
        <v>188</v>
      </c>
      <c r="M13" s="1198" t="s">
        <v>144</v>
      </c>
      <c r="N13" s="1197"/>
      <c r="O13" s="1049">
        <v>0</v>
      </c>
      <c r="P13" s="1196">
        <v>1</v>
      </c>
      <c r="Q13" s="1049">
        <v>1</v>
      </c>
      <c r="R13" s="1187">
        <v>0</v>
      </c>
      <c r="S13" s="1049">
        <v>41</v>
      </c>
      <c r="T13" s="1187">
        <v>24</v>
      </c>
      <c r="U13" s="1049">
        <v>29</v>
      </c>
      <c r="V13" s="1187">
        <v>17</v>
      </c>
      <c r="W13" s="1049">
        <v>25</v>
      </c>
      <c r="X13" s="1187">
        <v>26</v>
      </c>
      <c r="Y13" s="1049">
        <v>15</v>
      </c>
      <c r="Z13" s="1185"/>
      <c r="AB13" s="666"/>
      <c r="AC13" s="1175">
        <f t="shared" si="0"/>
        <v>16.75</v>
      </c>
      <c r="AD13" s="1155"/>
    </row>
    <row r="14" spans="1:30" s="1160" customFormat="1" x14ac:dyDescent="0.2">
      <c r="A14" s="1174"/>
      <c r="B14" s="1195" t="s">
        <v>98</v>
      </c>
      <c r="C14" s="1193">
        <v>22</v>
      </c>
      <c r="D14" s="1194">
        <v>11</v>
      </c>
      <c r="E14" s="1193">
        <v>20</v>
      </c>
      <c r="F14" s="1192">
        <v>5</v>
      </c>
      <c r="G14" s="1191">
        <v>20</v>
      </c>
      <c r="H14" s="1187">
        <v>9</v>
      </c>
      <c r="I14" s="1190">
        <v>22</v>
      </c>
      <c r="J14" s="1189">
        <v>4</v>
      </c>
      <c r="K14" s="1188">
        <v>21</v>
      </c>
      <c r="L14" s="1189">
        <f>13</f>
        <v>13</v>
      </c>
      <c r="M14" s="1188">
        <v>16</v>
      </c>
      <c r="N14" s="1187">
        <v>8</v>
      </c>
      <c r="O14" s="1186">
        <v>15</v>
      </c>
      <c r="P14" s="1187">
        <v>8</v>
      </c>
      <c r="Q14" s="1186">
        <v>14</v>
      </c>
      <c r="R14" s="1187">
        <v>4</v>
      </c>
      <c r="S14" s="1186">
        <v>19</v>
      </c>
      <c r="T14" s="1187">
        <v>5</v>
      </c>
      <c r="U14" s="1186">
        <v>30</v>
      </c>
      <c r="V14" s="1187">
        <v>11</v>
      </c>
      <c r="W14" s="1186">
        <v>23</v>
      </c>
      <c r="X14" s="1187">
        <v>15</v>
      </c>
      <c r="Y14" s="1186">
        <v>18</v>
      </c>
      <c r="Z14" s="1185"/>
      <c r="AB14" s="666">
        <f>AVERAGE(W14,U14,S14,Q14,Y14)</f>
        <v>20.8</v>
      </c>
      <c r="AC14" s="1175">
        <f t="shared" si="0"/>
        <v>8.75</v>
      </c>
      <c r="AD14" s="1155"/>
    </row>
    <row r="15" spans="1:30" s="1160" customFormat="1" x14ac:dyDescent="0.2">
      <c r="A15" s="1174"/>
      <c r="B15" s="1184" t="s">
        <v>187</v>
      </c>
      <c r="C15" s="1183"/>
      <c r="D15" s="1182"/>
      <c r="E15" s="1181"/>
      <c r="F15" s="1180"/>
      <c r="G15" s="1179"/>
      <c r="H15" s="1177"/>
      <c r="I15" s="1157"/>
      <c r="J15" s="1178"/>
      <c r="K15" s="888"/>
      <c r="L15" s="1178"/>
      <c r="M15" s="888"/>
      <c r="N15" s="1177"/>
      <c r="O15" s="1049"/>
      <c r="P15" s="1177"/>
      <c r="Q15" s="1049"/>
      <c r="R15" s="1177"/>
      <c r="S15" s="1049"/>
      <c r="T15" s="1177"/>
      <c r="U15" s="1049"/>
      <c r="V15" s="1177"/>
      <c r="W15" s="1049"/>
      <c r="X15" s="1177"/>
      <c r="Y15" s="1049"/>
      <c r="Z15" s="1176"/>
      <c r="AB15" s="666"/>
      <c r="AC15" s="1175"/>
      <c r="AD15" s="1155"/>
    </row>
    <row r="16" spans="1:30" s="1160" customFormat="1" ht="13.5" thickBot="1" x14ac:dyDescent="0.25">
      <c r="A16" s="1174"/>
      <c r="B16" s="1173" t="s">
        <v>134</v>
      </c>
      <c r="C16" s="1172">
        <v>79</v>
      </c>
      <c r="D16" s="1171">
        <v>15</v>
      </c>
      <c r="E16" s="1170"/>
      <c r="F16" s="1169">
        <v>17</v>
      </c>
      <c r="G16" s="1168"/>
      <c r="H16" s="1164">
        <v>25</v>
      </c>
      <c r="I16" s="1167">
        <v>121</v>
      </c>
      <c r="J16" s="1166">
        <v>30</v>
      </c>
      <c r="K16" s="1165">
        <v>112</v>
      </c>
      <c r="L16" s="1166">
        <v>19</v>
      </c>
      <c r="M16" s="1165">
        <v>79</v>
      </c>
      <c r="N16" s="1164">
        <v>4</v>
      </c>
      <c r="O16" s="1163">
        <v>98</v>
      </c>
      <c r="P16" s="1164">
        <v>11</v>
      </c>
      <c r="Q16" s="1163">
        <v>89</v>
      </c>
      <c r="R16" s="1164">
        <v>11</v>
      </c>
      <c r="S16" s="1163">
        <v>98</v>
      </c>
      <c r="T16" s="1164">
        <v>12</v>
      </c>
      <c r="U16" s="1163">
        <v>92</v>
      </c>
      <c r="V16" s="1164">
        <v>9</v>
      </c>
      <c r="W16" s="1163">
        <f>25+34+5</f>
        <v>64</v>
      </c>
      <c r="X16" s="1164">
        <v>16</v>
      </c>
      <c r="Y16" s="1163">
        <v>33</v>
      </c>
      <c r="Z16" s="1162"/>
      <c r="AB16" s="676">
        <f t="shared" ref="AB16:AC16" si="1">AVERAGE(W16,U16,S16,Q16,Y16)</f>
        <v>75.2</v>
      </c>
      <c r="AC16" s="1161">
        <f t="shared" si="1"/>
        <v>12</v>
      </c>
      <c r="AD16" s="1155"/>
    </row>
    <row r="17" spans="1:32" ht="13.5" thickTop="1" x14ac:dyDescent="0.2">
      <c r="A17" s="1"/>
      <c r="B17" s="35" t="s">
        <v>186</v>
      </c>
      <c r="C17" s="65"/>
      <c r="D17" s="34"/>
      <c r="E17" s="65"/>
      <c r="F17" s="34"/>
      <c r="G17" s="1158"/>
      <c r="H17" s="200"/>
      <c r="I17" s="1159"/>
      <c r="J17" s="200"/>
      <c r="K17" s="1158"/>
      <c r="L17" s="200"/>
      <c r="M17" s="1158"/>
      <c r="N17" s="200"/>
      <c r="O17" s="1158"/>
      <c r="P17" s="200"/>
      <c r="Q17" s="1158"/>
      <c r="R17" s="200"/>
      <c r="S17" s="1158"/>
      <c r="T17" s="200"/>
      <c r="U17" s="1158"/>
      <c r="V17" s="200"/>
      <c r="W17" s="1158"/>
      <c r="X17" s="200"/>
      <c r="Y17" s="1158"/>
      <c r="Z17" s="200"/>
      <c r="AB17" s="1155"/>
      <c r="AC17" s="1155"/>
      <c r="AD17" s="1155"/>
    </row>
    <row r="18" spans="1:32" x14ac:dyDescent="0.2">
      <c r="A18" s="1"/>
      <c r="B18" s="64" t="s">
        <v>185</v>
      </c>
      <c r="C18" s="65"/>
      <c r="D18" s="34"/>
      <c r="E18" s="65"/>
      <c r="F18" s="34"/>
      <c r="G18" s="192"/>
      <c r="H18" s="200"/>
      <c r="I18" s="192"/>
      <c r="J18" s="200"/>
      <c r="K18" s="192"/>
      <c r="L18" s="200"/>
      <c r="M18" s="1157" t="s">
        <v>19</v>
      </c>
      <c r="N18" s="200"/>
      <c r="O18" s="1157"/>
      <c r="P18" s="200"/>
      <c r="Q18" s="1157"/>
      <c r="R18" s="200"/>
      <c r="S18" s="1157"/>
      <c r="T18" s="200"/>
      <c r="U18" s="1157"/>
      <c r="V18" s="200"/>
      <c r="W18" s="1157"/>
      <c r="X18" s="200"/>
      <c r="Y18" s="1157"/>
      <c r="Z18" s="200"/>
      <c r="AB18" s="1155"/>
      <c r="AC18" s="1155"/>
      <c r="AD18" s="1155"/>
    </row>
    <row r="19" spans="1:32" ht="12" customHeight="1" thickBot="1" x14ac:dyDescent="0.25">
      <c r="A19" s="1"/>
      <c r="B19" s="1" t="s">
        <v>198</v>
      </c>
      <c r="C19" s="1"/>
      <c r="D19" s="1"/>
      <c r="E19" s="1"/>
      <c r="F19" s="1"/>
      <c r="G19" s="95"/>
      <c r="H19" s="95"/>
      <c r="I19" s="95"/>
      <c r="J19" s="95"/>
      <c r="K19" s="95"/>
      <c r="L19" s="95"/>
      <c r="M19" s="202"/>
      <c r="N19" s="202"/>
      <c r="O19" s="95"/>
      <c r="P19" s="95"/>
      <c r="Q19" s="95"/>
      <c r="R19" s="95"/>
      <c r="S19" s="95"/>
      <c r="T19" s="95"/>
      <c r="U19" s="95"/>
      <c r="V19" s="95"/>
      <c r="W19" s="95"/>
      <c r="X19" s="95"/>
      <c r="Y19" s="95"/>
      <c r="Z19" s="95"/>
      <c r="AB19" s="1155"/>
      <c r="AC19" s="1155"/>
      <c r="AD19" s="1155"/>
    </row>
    <row r="20" spans="1:32" ht="14.25" thickTop="1" thickBot="1" x14ac:dyDescent="0.25">
      <c r="A20" s="1"/>
      <c r="B20" s="415"/>
      <c r="C20" s="1292" t="s">
        <v>27</v>
      </c>
      <c r="D20" s="1293"/>
      <c r="E20" s="1294" t="s">
        <v>28</v>
      </c>
      <c r="F20" s="1294"/>
      <c r="G20" s="1286" t="s">
        <v>83</v>
      </c>
      <c r="H20" s="1255"/>
      <c r="I20" s="1340" t="s">
        <v>93</v>
      </c>
      <c r="J20" s="1340"/>
      <c r="K20" s="1342" t="s">
        <v>94</v>
      </c>
      <c r="L20" s="1340"/>
      <c r="M20" s="1342" t="s">
        <v>100</v>
      </c>
      <c r="N20" s="1341"/>
      <c r="O20" s="1340" t="s">
        <v>143</v>
      </c>
      <c r="P20" s="1341"/>
      <c r="Q20" s="1340" t="s">
        <v>149</v>
      </c>
      <c r="R20" s="1341"/>
      <c r="S20" s="1340" t="s">
        <v>167</v>
      </c>
      <c r="T20" s="1341"/>
      <c r="U20" s="1340" t="s">
        <v>181</v>
      </c>
      <c r="V20" s="1341"/>
      <c r="W20" s="1340" t="s">
        <v>194</v>
      </c>
      <c r="X20" s="1341"/>
      <c r="Y20" s="1340" t="s">
        <v>203</v>
      </c>
      <c r="Z20" s="1359"/>
      <c r="AB20" s="1259" t="s">
        <v>133</v>
      </c>
      <c r="AC20" s="1268"/>
      <c r="AD20" s="1155"/>
    </row>
    <row r="21" spans="1:32" x14ac:dyDescent="0.2">
      <c r="A21" s="1"/>
      <c r="B21" s="44" t="s">
        <v>8</v>
      </c>
      <c r="C21" s="129"/>
      <c r="D21" s="130"/>
      <c r="E21" s="31"/>
      <c r="F21" s="31"/>
      <c r="G21" s="229"/>
      <c r="H21" s="326"/>
      <c r="I21" s="308"/>
      <c r="J21" s="308"/>
      <c r="K21" s="231"/>
      <c r="L21" s="308"/>
      <c r="M21" s="231"/>
      <c r="N21" s="316"/>
      <c r="O21" s="308"/>
      <c r="P21" s="316"/>
      <c r="Q21" s="308"/>
      <c r="R21" s="316"/>
      <c r="S21" s="308"/>
      <c r="T21" s="316"/>
      <c r="U21" s="308"/>
      <c r="V21" s="316"/>
      <c r="W21" s="308"/>
      <c r="X21" s="316"/>
      <c r="Y21" s="308"/>
      <c r="Z21" s="1134"/>
      <c r="AB21" s="523"/>
      <c r="AC21" s="272"/>
      <c r="AD21" s="1155"/>
    </row>
    <row r="22" spans="1:32" ht="12.75" customHeight="1" x14ac:dyDescent="0.2">
      <c r="A22" s="1"/>
      <c r="B22" s="48" t="s">
        <v>9</v>
      </c>
      <c r="C22" s="131"/>
      <c r="D22" s="132"/>
      <c r="E22" s="32"/>
      <c r="F22" s="32"/>
      <c r="G22" s="209"/>
      <c r="H22" s="313"/>
      <c r="I22" s="284"/>
      <c r="J22" s="284"/>
      <c r="K22" s="209"/>
      <c r="L22" s="284"/>
      <c r="M22" s="209"/>
      <c r="N22" s="313"/>
      <c r="O22" s="284"/>
      <c r="P22" s="313"/>
      <c r="Q22" s="284"/>
      <c r="R22" s="313"/>
      <c r="S22" s="284"/>
      <c r="T22" s="313"/>
      <c r="U22" s="284"/>
      <c r="V22" s="313"/>
      <c r="W22" s="284"/>
      <c r="X22" s="313"/>
      <c r="Y22" s="284"/>
      <c r="Z22" s="1156"/>
      <c r="AB22" s="523"/>
      <c r="AC22" s="272"/>
      <c r="AD22" s="1155"/>
    </row>
    <row r="23" spans="1:32" x14ac:dyDescent="0.2">
      <c r="A23" s="1"/>
      <c r="B23" s="48" t="s">
        <v>10</v>
      </c>
      <c r="C23" s="131"/>
      <c r="D23" s="164">
        <v>2542</v>
      </c>
      <c r="E23" s="32"/>
      <c r="F23" s="52">
        <v>2728</v>
      </c>
      <c r="G23" s="209"/>
      <c r="H23" s="305">
        <v>2223</v>
      </c>
      <c r="I23" s="284"/>
      <c r="J23" s="101">
        <v>2109</v>
      </c>
      <c r="K23" s="209"/>
      <c r="L23" s="101">
        <v>1992</v>
      </c>
      <c r="M23" s="209"/>
      <c r="N23" s="305">
        <v>2113</v>
      </c>
      <c r="O23" s="284"/>
      <c r="P23" s="305">
        <v>2042</v>
      </c>
      <c r="Q23" s="284"/>
      <c r="R23" s="305">
        <v>2163</v>
      </c>
      <c r="S23" s="284"/>
      <c r="T23" s="305">
        <v>2113</v>
      </c>
      <c r="U23" s="284"/>
      <c r="V23" s="305">
        <v>3063</v>
      </c>
      <c r="W23" s="284"/>
      <c r="X23" s="305">
        <v>2985</v>
      </c>
      <c r="Y23" s="284"/>
      <c r="Z23" s="1154"/>
      <c r="AB23" s="614"/>
      <c r="AC23" s="650">
        <f t="shared" ref="AC23:AC27" si="2">AVERAGE(X23,V23,T23,R23,Z23)</f>
        <v>2581</v>
      </c>
      <c r="AD23" s="1155"/>
    </row>
    <row r="24" spans="1:32" x14ac:dyDescent="0.2">
      <c r="A24" s="1"/>
      <c r="B24" s="48" t="s">
        <v>11</v>
      </c>
      <c r="C24" s="131"/>
      <c r="D24" s="164">
        <v>2874</v>
      </c>
      <c r="E24" s="32"/>
      <c r="F24" s="52">
        <v>3538</v>
      </c>
      <c r="G24" s="209"/>
      <c r="H24" s="305">
        <v>4656</v>
      </c>
      <c r="I24" s="284"/>
      <c r="J24" s="101">
        <v>4484</v>
      </c>
      <c r="K24" s="209"/>
      <c r="L24" s="101">
        <v>4800</v>
      </c>
      <c r="M24" s="209"/>
      <c r="N24" s="305">
        <v>4826</v>
      </c>
      <c r="O24" s="284"/>
      <c r="P24" s="305">
        <v>4998</v>
      </c>
      <c r="Q24" s="284"/>
      <c r="R24" s="305">
        <v>5332</v>
      </c>
      <c r="S24" s="284"/>
      <c r="T24" s="305">
        <v>5830</v>
      </c>
      <c r="U24" s="284"/>
      <c r="V24" s="305">
        <v>6267</v>
      </c>
      <c r="W24" s="284"/>
      <c r="X24" s="305">
        <v>6643</v>
      </c>
      <c r="Y24" s="284"/>
      <c r="Z24" s="1154"/>
      <c r="AB24" s="636"/>
      <c r="AC24" s="650">
        <f t="shared" si="2"/>
        <v>6018</v>
      </c>
      <c r="AD24" s="1155"/>
    </row>
    <row r="25" spans="1:32" x14ac:dyDescent="0.2">
      <c r="A25" s="1"/>
      <c r="B25" s="48" t="s">
        <v>12</v>
      </c>
      <c r="C25" s="131"/>
      <c r="D25" s="164">
        <v>348</v>
      </c>
      <c r="E25" s="32"/>
      <c r="F25" s="52">
        <v>340</v>
      </c>
      <c r="G25" s="209"/>
      <c r="H25" s="305">
        <v>257</v>
      </c>
      <c r="I25" s="284"/>
      <c r="J25" s="101">
        <v>292</v>
      </c>
      <c r="K25" s="209"/>
      <c r="L25" s="101">
        <v>382</v>
      </c>
      <c r="M25" s="209"/>
      <c r="N25" s="305">
        <v>280</v>
      </c>
      <c r="O25" s="284"/>
      <c r="P25" s="305">
        <v>382</v>
      </c>
      <c r="Q25" s="284"/>
      <c r="R25" s="305">
        <v>437</v>
      </c>
      <c r="S25" s="284"/>
      <c r="T25" s="305">
        <v>467</v>
      </c>
      <c r="U25" s="284"/>
      <c r="V25" s="305">
        <v>659</v>
      </c>
      <c r="W25" s="284"/>
      <c r="X25" s="305">
        <v>402</v>
      </c>
      <c r="Y25" s="284"/>
      <c r="Z25" s="1154"/>
      <c r="AA25" s="1120"/>
      <c r="AB25" s="32"/>
      <c r="AC25" s="650">
        <f t="shared" si="2"/>
        <v>491.25</v>
      </c>
    </row>
    <row r="26" spans="1:32" x14ac:dyDescent="0.2">
      <c r="A26" s="1"/>
      <c r="B26" s="48" t="s">
        <v>13</v>
      </c>
      <c r="C26" s="131"/>
      <c r="D26" s="133">
        <v>0</v>
      </c>
      <c r="E26" s="32"/>
      <c r="F26" s="33">
        <v>0</v>
      </c>
      <c r="G26" s="209"/>
      <c r="H26" s="212">
        <v>0</v>
      </c>
      <c r="I26" s="284"/>
      <c r="J26" s="211">
        <v>0</v>
      </c>
      <c r="K26" s="209"/>
      <c r="L26" s="211">
        <v>0</v>
      </c>
      <c r="M26" s="209"/>
      <c r="N26" s="212">
        <v>0</v>
      </c>
      <c r="O26" s="284"/>
      <c r="P26" s="212">
        <v>0</v>
      </c>
      <c r="Q26" s="284"/>
      <c r="R26" s="212">
        <v>0</v>
      </c>
      <c r="S26" s="284"/>
      <c r="T26" s="212">
        <v>0</v>
      </c>
      <c r="U26" s="284"/>
      <c r="V26" s="212">
        <v>0</v>
      </c>
      <c r="W26" s="284"/>
      <c r="X26" s="212">
        <v>14</v>
      </c>
      <c r="Y26" s="284"/>
      <c r="Z26" s="1153"/>
      <c r="AA26" s="1120"/>
      <c r="AB26" s="32"/>
      <c r="AC26" s="650">
        <f t="shared" si="2"/>
        <v>3.5</v>
      </c>
    </row>
    <row r="27" spans="1:32" ht="13.5" thickBot="1" x14ac:dyDescent="0.25">
      <c r="A27" s="1"/>
      <c r="B27" s="49" t="s">
        <v>14</v>
      </c>
      <c r="C27" s="134"/>
      <c r="D27" s="1152">
        <f>SUM(D23:D26)</f>
        <v>5764</v>
      </c>
      <c r="E27" s="90"/>
      <c r="F27" s="1151">
        <f>SUM(F23:F26)</f>
        <v>6606</v>
      </c>
      <c r="G27" s="213"/>
      <c r="H27" s="1149">
        <f>SUM(H23:H26)</f>
        <v>7136</v>
      </c>
      <c r="I27" s="302"/>
      <c r="J27" s="1150">
        <f>SUM(J23:J26)</f>
        <v>6885</v>
      </c>
      <c r="K27" s="213"/>
      <c r="L27" s="1150">
        <f>SUM(L23:L26)</f>
        <v>7174</v>
      </c>
      <c r="M27" s="213"/>
      <c r="N27" s="1149">
        <f>SUM(N23:N26)</f>
        <v>7219</v>
      </c>
      <c r="O27" s="302"/>
      <c r="P27" s="1149">
        <f>SUM(P23:P26)</f>
        <v>7422</v>
      </c>
      <c r="Q27" s="302"/>
      <c r="R27" s="1149">
        <f>SUM(R23:R26)</f>
        <v>7932</v>
      </c>
      <c r="S27" s="302"/>
      <c r="T27" s="1149">
        <f>SUM(T23:T26)</f>
        <v>8410</v>
      </c>
      <c r="U27" s="302"/>
      <c r="V27" s="1149">
        <f>SUM(V23:V26)</f>
        <v>9989</v>
      </c>
      <c r="W27" s="302"/>
      <c r="X27" s="1149">
        <f>SUM(X23:X26)</f>
        <v>10044</v>
      </c>
      <c r="Y27" s="302"/>
      <c r="Z27" s="1148"/>
      <c r="AA27" s="1120"/>
      <c r="AB27" s="1147"/>
      <c r="AC27" s="749">
        <f t="shared" si="2"/>
        <v>9093.75</v>
      </c>
    </row>
    <row r="28" spans="1:32" ht="12" customHeight="1" thickTop="1" thickBot="1" x14ac:dyDescent="0.25">
      <c r="A28" s="272"/>
      <c r="B28" s="576" t="s">
        <v>124</v>
      </c>
      <c r="C28" s="1282" t="s">
        <v>29</v>
      </c>
      <c r="D28" s="1295"/>
      <c r="E28" s="1282" t="s">
        <v>30</v>
      </c>
      <c r="F28" s="1295"/>
      <c r="G28" s="1280" t="s">
        <v>120</v>
      </c>
      <c r="H28" s="1253"/>
      <c r="I28" s="1280" t="s">
        <v>121</v>
      </c>
      <c r="J28" s="1291"/>
      <c r="K28" s="1280" t="s">
        <v>122</v>
      </c>
      <c r="L28" s="1291"/>
      <c r="M28" s="1269" t="s">
        <v>123</v>
      </c>
      <c r="N28" s="1253"/>
      <c r="O28" s="1269" t="s">
        <v>144</v>
      </c>
      <c r="P28" s="1253"/>
      <c r="Q28" s="1269" t="s">
        <v>150</v>
      </c>
      <c r="R28" s="1253"/>
      <c r="S28" s="1269" t="s">
        <v>164</v>
      </c>
      <c r="T28" s="1253"/>
      <c r="U28" s="1269" t="s">
        <v>182</v>
      </c>
      <c r="V28" s="1253"/>
      <c r="W28" s="1252" t="s">
        <v>195</v>
      </c>
      <c r="X28" s="1253"/>
      <c r="Y28" s="1252" t="s">
        <v>204</v>
      </c>
      <c r="Z28" s="1253"/>
      <c r="AA28" s="1146"/>
      <c r="AB28" s="1325"/>
      <c r="AC28" s="1357"/>
      <c r="AD28" s="283"/>
      <c r="AE28" s="283"/>
      <c r="AF28" s="281"/>
    </row>
    <row r="29" spans="1:32" ht="12" customHeight="1" x14ac:dyDescent="0.2">
      <c r="A29" s="272"/>
      <c r="B29" s="577" t="s">
        <v>107</v>
      </c>
      <c r="C29" s="1297">
        <v>0.61899999999999999</v>
      </c>
      <c r="D29" s="1363"/>
      <c r="E29" s="1287">
        <v>0.5</v>
      </c>
      <c r="F29" s="1334"/>
      <c r="G29" s="1287">
        <v>0.59099999999999997</v>
      </c>
      <c r="H29" s="1334"/>
      <c r="I29" s="1287">
        <v>0.54300000000000004</v>
      </c>
      <c r="J29" s="1360"/>
      <c r="K29" s="578"/>
      <c r="L29" s="579">
        <v>0.52600000000000002</v>
      </c>
      <c r="M29" s="580"/>
      <c r="N29" s="796">
        <v>0.64400000000000002</v>
      </c>
      <c r="O29" s="794"/>
      <c r="P29" s="796">
        <v>0.51100000000000001</v>
      </c>
      <c r="Q29" s="895"/>
      <c r="R29" s="796">
        <v>0.52100000000000002</v>
      </c>
      <c r="S29" s="895"/>
      <c r="T29" s="796">
        <v>0.57299999999999995</v>
      </c>
      <c r="U29" s="895"/>
      <c r="V29" s="796">
        <v>0.55600000000000005</v>
      </c>
      <c r="W29" s="895"/>
      <c r="X29" s="796">
        <v>0.57699999999999996</v>
      </c>
      <c r="Y29" s="895"/>
      <c r="Z29" s="1145">
        <v>0.64900000000000002</v>
      </c>
      <c r="AA29" s="1142"/>
      <c r="AB29" s="1143"/>
      <c r="AC29" s="998">
        <f t="shared" ref="AC29:AC31" si="3">AVERAGE(X29,V29,T29,R29,Z29)</f>
        <v>0.57519999999999993</v>
      </c>
      <c r="AD29" s="283"/>
      <c r="AE29" s="283"/>
      <c r="AF29" s="281"/>
    </row>
    <row r="30" spans="1:32" ht="12" customHeight="1" x14ac:dyDescent="0.2">
      <c r="A30" s="272"/>
      <c r="B30" s="582" t="s">
        <v>108</v>
      </c>
      <c r="C30" s="1361">
        <v>6.5000000000000002E-2</v>
      </c>
      <c r="D30" s="1362"/>
      <c r="E30" s="1276">
        <v>4.1000000000000002E-2</v>
      </c>
      <c r="F30" s="1335"/>
      <c r="G30" s="1276">
        <v>3.2000000000000001E-2</v>
      </c>
      <c r="H30" s="1335"/>
      <c r="I30" s="1276">
        <v>3.7999999999999999E-2</v>
      </c>
      <c r="J30" s="1364"/>
      <c r="K30" s="583"/>
      <c r="L30" s="584">
        <v>4.2000000000000003E-2</v>
      </c>
      <c r="M30" s="583"/>
      <c r="N30" s="797">
        <v>2.7E-2</v>
      </c>
      <c r="O30" s="795"/>
      <c r="P30" s="797">
        <v>0.03</v>
      </c>
      <c r="Q30" s="896"/>
      <c r="R30" s="797">
        <v>2.8000000000000001E-2</v>
      </c>
      <c r="S30" s="896"/>
      <c r="T30" s="797">
        <v>2.9000000000000001E-2</v>
      </c>
      <c r="U30" s="896"/>
      <c r="V30" s="797">
        <v>4.2000000000000003E-2</v>
      </c>
      <c r="W30" s="896"/>
      <c r="X30" s="797">
        <v>3.1E-2</v>
      </c>
      <c r="Y30" s="896"/>
      <c r="Z30" s="1144">
        <v>1.7000000000000001E-2</v>
      </c>
      <c r="AA30" s="1142"/>
      <c r="AB30" s="1143"/>
      <c r="AC30" s="998">
        <f t="shared" si="3"/>
        <v>2.9400000000000003E-2</v>
      </c>
      <c r="AD30" s="283"/>
      <c r="AE30" s="283"/>
      <c r="AF30" s="281"/>
    </row>
    <row r="31" spans="1:32" ht="12.75" customHeight="1" thickBot="1" x14ac:dyDescent="0.25">
      <c r="A31" s="1"/>
      <c r="B31" s="586" t="s">
        <v>109</v>
      </c>
      <c r="C31" s="1257">
        <f>1-C29-C30</f>
        <v>0.316</v>
      </c>
      <c r="D31" s="1258"/>
      <c r="E31" s="1257">
        <f>1-E29-E30</f>
        <v>0.45900000000000002</v>
      </c>
      <c r="F31" s="1258"/>
      <c r="G31" s="1257">
        <f>1-G29-G30</f>
        <v>0.377</v>
      </c>
      <c r="H31" s="1258"/>
      <c r="I31" s="1257">
        <f>1-I29-I30</f>
        <v>0.41899999999999998</v>
      </c>
      <c r="J31" s="1258"/>
      <c r="K31" s="1257">
        <f>1-L29-L30</f>
        <v>0.432</v>
      </c>
      <c r="L31" s="1258"/>
      <c r="M31" s="1257">
        <f>1-N29-N30</f>
        <v>0.32899999999999996</v>
      </c>
      <c r="N31" s="1258"/>
      <c r="O31" s="1257">
        <f>1-P29-P30</f>
        <v>0.45899999999999996</v>
      </c>
      <c r="P31" s="1258"/>
      <c r="Q31" s="1345">
        <f>1-R29-R30</f>
        <v>0.45099999999999996</v>
      </c>
      <c r="R31" s="1346"/>
      <c r="S31" s="1345">
        <f>1-T29-T30</f>
        <v>0.39800000000000002</v>
      </c>
      <c r="T31" s="1346"/>
      <c r="U31" s="1345">
        <f>1-V29-V30</f>
        <v>0.40199999999999997</v>
      </c>
      <c r="V31" s="1346"/>
      <c r="W31" s="1345">
        <f>1-X29-X30</f>
        <v>0.39200000000000002</v>
      </c>
      <c r="X31" s="1346"/>
      <c r="Y31" s="1345">
        <f>1-Z29-Z30</f>
        <v>0.33399999999999996</v>
      </c>
      <c r="Z31" s="1346"/>
      <c r="AA31" s="1142"/>
      <c r="AB31" s="1355">
        <f t="shared" ref="AB31" si="4">AVERAGE(W31,U31,S31,Q31,Y31)</f>
        <v>0.39540000000000008</v>
      </c>
      <c r="AC31" s="1356" t="e">
        <f t="shared" si="3"/>
        <v>#DIV/0!</v>
      </c>
      <c r="AD31" s="1141"/>
      <c r="AE31" s="283"/>
      <c r="AF31" s="281"/>
    </row>
    <row r="32" spans="1:32" s="1" customFormat="1" thickTop="1" x14ac:dyDescent="0.2">
      <c r="B32" s="83"/>
      <c r="C32" s="84"/>
      <c r="D32" s="85"/>
      <c r="E32" s="84"/>
      <c r="F32" s="85"/>
      <c r="G32" s="235"/>
      <c r="H32" s="236"/>
      <c r="I32" s="235"/>
      <c r="J32" s="236"/>
      <c r="K32" s="235"/>
      <c r="L32" s="236"/>
      <c r="M32" s="235"/>
      <c r="N32" s="236"/>
      <c r="O32" s="235"/>
      <c r="P32" s="236"/>
      <c r="Q32" s="235"/>
      <c r="R32" s="236"/>
      <c r="S32" s="235"/>
      <c r="T32" s="236"/>
      <c r="U32" s="235"/>
      <c r="V32" s="236"/>
      <c r="W32" s="235"/>
      <c r="X32" s="236"/>
      <c r="Y32" s="235"/>
      <c r="Z32" s="236"/>
    </row>
    <row r="33" spans="1:29" s="1" customFormat="1" x14ac:dyDescent="0.2">
      <c r="A33" s="86" t="s">
        <v>37</v>
      </c>
      <c r="B33" s="70"/>
      <c r="C33" s="4"/>
      <c r="D33" s="4"/>
      <c r="E33" s="4"/>
      <c r="F33" s="4"/>
      <c r="G33" s="202"/>
      <c r="H33" s="202"/>
      <c r="I33" s="202"/>
      <c r="J33" s="202"/>
      <c r="K33" s="202"/>
      <c r="L33" s="202"/>
      <c r="M33" s="202"/>
      <c r="N33" s="202"/>
      <c r="O33" s="202"/>
      <c r="P33" s="202"/>
      <c r="Q33" s="202"/>
      <c r="R33" s="202"/>
      <c r="S33" s="202"/>
      <c r="T33" s="202"/>
      <c r="U33" s="202"/>
      <c r="V33" s="202"/>
      <c r="W33" s="202"/>
      <c r="X33" s="202"/>
      <c r="Y33" s="202"/>
      <c r="Z33" s="202"/>
    </row>
    <row r="34" spans="1:29" s="1" customFormat="1" ht="13.5" thickBot="1" x14ac:dyDescent="0.25">
      <c r="A34" s="86"/>
      <c r="B34" s="70"/>
      <c r="C34" s="4"/>
      <c r="D34" s="4"/>
      <c r="E34" s="4"/>
      <c r="F34" s="4"/>
      <c r="G34" s="202"/>
      <c r="H34" s="202"/>
      <c r="I34" s="202"/>
      <c r="J34" s="202"/>
      <c r="K34" s="202"/>
      <c r="L34" s="202"/>
      <c r="M34" s="202"/>
      <c r="N34" s="202"/>
      <c r="O34" s="202"/>
      <c r="P34" s="202"/>
      <c r="Q34" s="202"/>
      <c r="R34" s="202"/>
      <c r="S34" s="202"/>
      <c r="T34" s="202"/>
      <c r="U34" s="202"/>
      <c r="V34" s="202"/>
      <c r="W34" s="202"/>
      <c r="X34" s="202"/>
      <c r="Y34" s="202"/>
      <c r="Z34" s="202"/>
    </row>
    <row r="35" spans="1:29" s="1" customFormat="1" ht="14.25" thickTop="1" thickBot="1" x14ac:dyDescent="0.25">
      <c r="A35" s="3"/>
      <c r="B35" s="1140" t="s">
        <v>38</v>
      </c>
      <c r="C35" s="1292" t="s">
        <v>27</v>
      </c>
      <c r="D35" s="1293"/>
      <c r="E35" s="1294" t="s">
        <v>28</v>
      </c>
      <c r="F35" s="1294"/>
      <c r="G35" s="1286" t="s">
        <v>83</v>
      </c>
      <c r="H35" s="1255"/>
      <c r="I35" s="1254" t="s">
        <v>93</v>
      </c>
      <c r="J35" s="1254"/>
      <c r="K35" s="1286" t="s">
        <v>94</v>
      </c>
      <c r="L35" s="1254"/>
      <c r="M35" s="1286" t="s">
        <v>100</v>
      </c>
      <c r="N35" s="1255"/>
      <c r="O35" s="1254" t="s">
        <v>143</v>
      </c>
      <c r="P35" s="1255"/>
      <c r="Q35" s="1254" t="s">
        <v>149</v>
      </c>
      <c r="R35" s="1255"/>
      <c r="S35" s="1254" t="s">
        <v>167</v>
      </c>
      <c r="T35" s="1255"/>
      <c r="U35" s="1254" t="s">
        <v>181</v>
      </c>
      <c r="V35" s="1255"/>
      <c r="W35" s="1254" t="s">
        <v>194</v>
      </c>
      <c r="X35" s="1255"/>
      <c r="Y35" s="1254" t="s">
        <v>203</v>
      </c>
      <c r="Z35" s="1347"/>
      <c r="AA35" s="1069"/>
      <c r="AB35" s="1294" t="s">
        <v>133</v>
      </c>
      <c r="AC35" s="1268"/>
    </row>
    <row r="36" spans="1:29" s="1" customFormat="1" x14ac:dyDescent="0.2">
      <c r="A36" s="3"/>
      <c r="B36" s="401" t="s">
        <v>39</v>
      </c>
      <c r="C36" s="131"/>
      <c r="D36" s="132"/>
      <c r="E36" s="32"/>
      <c r="F36" s="32"/>
      <c r="G36" s="209"/>
      <c r="H36" s="313"/>
      <c r="I36" s="301"/>
      <c r="J36" s="301"/>
      <c r="K36" s="229"/>
      <c r="L36" s="301"/>
      <c r="M36" s="229"/>
      <c r="N36" s="326"/>
      <c r="O36" s="301"/>
      <c r="P36" s="326"/>
      <c r="Q36" s="301"/>
      <c r="R36" s="326"/>
      <c r="S36" s="301"/>
      <c r="T36" s="326"/>
      <c r="U36" s="301"/>
      <c r="V36" s="326"/>
      <c r="W36" s="301"/>
      <c r="X36" s="326"/>
      <c r="Y36" s="301"/>
      <c r="Z36" s="1080"/>
      <c r="AA36" s="1069"/>
      <c r="AB36" s="4"/>
      <c r="AC36" s="272"/>
    </row>
    <row r="37" spans="1:29" s="1" customFormat="1" x14ac:dyDescent="0.2">
      <c r="A37" s="3"/>
      <c r="B37" s="402" t="s">
        <v>40</v>
      </c>
      <c r="C37" s="129"/>
      <c r="D37" s="136">
        <v>732761</v>
      </c>
      <c r="E37" s="31"/>
      <c r="F37" s="154">
        <v>801609</v>
      </c>
      <c r="G37" s="229"/>
      <c r="H37" s="314">
        <v>808269</v>
      </c>
      <c r="I37" s="301"/>
      <c r="J37" s="353">
        <v>808643</v>
      </c>
      <c r="K37" s="229"/>
      <c r="L37" s="353">
        <f>886252+35538</f>
        <v>921790</v>
      </c>
      <c r="M37" s="229"/>
      <c r="N37" s="314">
        <f>996473+37978</f>
        <v>1034451</v>
      </c>
      <c r="O37" s="301"/>
      <c r="P37" s="314">
        <v>1110200</v>
      </c>
      <c r="Q37" s="301"/>
      <c r="R37" s="314">
        <v>1134128</v>
      </c>
      <c r="S37" s="301"/>
      <c r="T37" s="314">
        <v>1146054</v>
      </c>
      <c r="U37" s="301"/>
      <c r="V37" s="314">
        <v>1177637</v>
      </c>
      <c r="W37" s="301"/>
      <c r="X37" s="314">
        <v>1224696</v>
      </c>
      <c r="Y37" s="301"/>
      <c r="Z37" s="1139">
        <v>1675909</v>
      </c>
      <c r="AA37" s="1069"/>
      <c r="AB37" s="31"/>
      <c r="AC37" s="650">
        <f>AVERAGE(X37,V37,T37,R37,Z37)</f>
        <v>1271684.8</v>
      </c>
    </row>
    <row r="38" spans="1:29" s="1" customFormat="1" x14ac:dyDescent="0.2">
      <c r="A38" s="3"/>
      <c r="B38" s="402" t="s">
        <v>152</v>
      </c>
      <c r="C38" s="129"/>
      <c r="D38" s="136"/>
      <c r="E38" s="31"/>
      <c r="F38" s="154"/>
      <c r="G38" s="229"/>
      <c r="H38" s="314"/>
      <c r="I38" s="301"/>
      <c r="J38" s="353"/>
      <c r="K38" s="229"/>
      <c r="L38" s="353"/>
      <c r="M38" s="229"/>
      <c r="N38" s="314"/>
      <c r="O38" s="301"/>
      <c r="P38" s="314"/>
      <c r="Q38" s="301"/>
      <c r="R38" s="314"/>
      <c r="S38" s="301"/>
      <c r="T38" s="314"/>
      <c r="U38" s="301"/>
      <c r="V38" s="314"/>
      <c r="W38" s="301"/>
      <c r="X38" s="314"/>
      <c r="Y38" s="301"/>
      <c r="Z38" s="1139"/>
      <c r="AA38" s="1069"/>
      <c r="AB38" s="31"/>
      <c r="AC38" s="650"/>
    </row>
    <row r="39" spans="1:29" s="1" customFormat="1" ht="36" x14ac:dyDescent="0.2">
      <c r="A39" s="3"/>
      <c r="B39" s="403" t="s">
        <v>153</v>
      </c>
      <c r="C39" s="131"/>
      <c r="D39" s="137">
        <v>83619</v>
      </c>
      <c r="E39" s="32"/>
      <c r="F39" s="155">
        <v>84606</v>
      </c>
      <c r="G39" s="209"/>
      <c r="H39" s="315">
        <v>99753</v>
      </c>
      <c r="I39" s="284"/>
      <c r="J39" s="259">
        <v>89677</v>
      </c>
      <c r="K39" s="209"/>
      <c r="L39" s="259">
        <v>74672</v>
      </c>
      <c r="M39" s="209"/>
      <c r="N39" s="315">
        <v>74632</v>
      </c>
      <c r="O39" s="284"/>
      <c r="P39" s="315">
        <v>152215</v>
      </c>
      <c r="Q39" s="284"/>
      <c r="R39" s="315">
        <v>153009</v>
      </c>
      <c r="S39" s="284"/>
      <c r="T39" s="315">
        <v>153806</v>
      </c>
      <c r="U39" s="284"/>
      <c r="V39" s="315">
        <v>154246</v>
      </c>
      <c r="W39" s="284"/>
      <c r="X39" s="315">
        <v>153908</v>
      </c>
      <c r="Y39" s="284"/>
      <c r="Z39" s="1138">
        <v>173280</v>
      </c>
      <c r="AA39" s="1069"/>
      <c r="AB39" s="32"/>
      <c r="AC39" s="650">
        <f t="shared" ref="AC39:AC40" si="5">AVERAGE(X39,V39,T39,R39,Z39)</f>
        <v>157649.79999999999</v>
      </c>
    </row>
    <row r="40" spans="1:29" s="1" customFormat="1" x14ac:dyDescent="0.2">
      <c r="A40" s="3"/>
      <c r="B40" s="404" t="s">
        <v>41</v>
      </c>
      <c r="C40" s="138"/>
      <c r="D40" s="139">
        <f>SUM(D37:D39)</f>
        <v>816380</v>
      </c>
      <c r="E40" s="90"/>
      <c r="F40" s="156">
        <f>SUM(F37:F39)</f>
        <v>886215</v>
      </c>
      <c r="G40" s="230"/>
      <c r="H40" s="336">
        <f>SUM(H37:H39)</f>
        <v>908022</v>
      </c>
      <c r="I40" s="307"/>
      <c r="J40" s="354">
        <f>SUM(J37:J39)</f>
        <v>898320</v>
      </c>
      <c r="K40" s="230"/>
      <c r="L40" s="354">
        <f>SUM(L37:L39)</f>
        <v>996462</v>
      </c>
      <c r="M40" s="230"/>
      <c r="N40" s="336">
        <f>SUM(N37:N39)</f>
        <v>1109083</v>
      </c>
      <c r="O40" s="307"/>
      <c r="P40" s="336">
        <f>SUM(P37:P39)</f>
        <v>1262415</v>
      </c>
      <c r="Q40" s="307"/>
      <c r="R40" s="336">
        <f>SUM(R37:R39)</f>
        <v>1287137</v>
      </c>
      <c r="S40" s="307"/>
      <c r="T40" s="336">
        <f>SUM(T37:T39)</f>
        <v>1299860</v>
      </c>
      <c r="U40" s="307"/>
      <c r="V40" s="336">
        <f>SUM(V37:V39)</f>
        <v>1331883</v>
      </c>
      <c r="W40" s="307"/>
      <c r="X40" s="336">
        <f>SUM(X37:X39)</f>
        <v>1378604</v>
      </c>
      <c r="Y40" s="307"/>
      <c r="Z40" s="1136">
        <f>SUM(Z37:Z39)</f>
        <v>1849189</v>
      </c>
      <c r="AA40" s="1069"/>
      <c r="AB40" s="32"/>
      <c r="AC40" s="650">
        <f t="shared" si="5"/>
        <v>1429334.6</v>
      </c>
    </row>
    <row r="41" spans="1:29" s="1" customFormat="1" x14ac:dyDescent="0.2">
      <c r="A41" s="3"/>
      <c r="B41" s="401" t="s">
        <v>42</v>
      </c>
      <c r="C41" s="131"/>
      <c r="D41" s="137"/>
      <c r="E41" s="32"/>
      <c r="F41" s="155"/>
      <c r="G41" s="209"/>
      <c r="H41" s="315"/>
      <c r="I41" s="284"/>
      <c r="J41" s="259"/>
      <c r="K41" s="209"/>
      <c r="L41" s="259"/>
      <c r="M41" s="209"/>
      <c r="N41" s="315"/>
      <c r="O41" s="284"/>
      <c r="P41" s="315"/>
      <c r="Q41" s="284"/>
      <c r="R41" s="315"/>
      <c r="S41" s="284"/>
      <c r="T41" s="315"/>
      <c r="U41" s="284"/>
      <c r="V41" s="315"/>
      <c r="W41" s="284"/>
      <c r="X41" s="315"/>
      <c r="Y41" s="284"/>
      <c r="Z41" s="1138"/>
      <c r="AA41" s="1069"/>
      <c r="AB41" s="32"/>
      <c r="AC41" s="650"/>
    </row>
    <row r="42" spans="1:29" s="1" customFormat="1" x14ac:dyDescent="0.2">
      <c r="A42" s="3"/>
      <c r="B42" s="402" t="s">
        <v>40</v>
      </c>
      <c r="C42" s="131"/>
      <c r="D42" s="137"/>
      <c r="E42" s="32"/>
      <c r="F42" s="155"/>
      <c r="G42" s="209"/>
      <c r="H42" s="315">
        <v>155115</v>
      </c>
      <c r="I42" s="284"/>
      <c r="J42" s="259">
        <v>164030</v>
      </c>
      <c r="K42" s="209"/>
      <c r="L42" s="259">
        <v>126749</v>
      </c>
      <c r="M42" s="209"/>
      <c r="N42" s="315">
        <f>118994+12961</f>
        <v>131955</v>
      </c>
      <c r="O42" s="284"/>
      <c r="P42" s="315">
        <v>0</v>
      </c>
      <c r="Q42" s="284"/>
      <c r="R42" s="315">
        <v>0</v>
      </c>
      <c r="S42" s="284"/>
      <c r="T42" s="315"/>
      <c r="U42" s="284"/>
      <c r="V42" s="315"/>
      <c r="W42" s="284"/>
      <c r="X42" s="315"/>
      <c r="Y42" s="284"/>
      <c r="Z42" s="1138"/>
      <c r="AA42" s="1069"/>
      <c r="AB42" s="32"/>
      <c r="AC42" s="749">
        <f>AVERAGE(X42,V42,T42,R42,Z42)</f>
        <v>0</v>
      </c>
    </row>
    <row r="43" spans="1:29" s="1" customFormat="1" x14ac:dyDescent="0.2">
      <c r="A43" s="3"/>
      <c r="B43" s="402" t="s">
        <v>152</v>
      </c>
      <c r="C43" s="131"/>
      <c r="D43" s="137"/>
      <c r="E43" s="32"/>
      <c r="F43" s="155"/>
      <c r="G43" s="209"/>
      <c r="H43" s="315"/>
      <c r="I43" s="284"/>
      <c r="J43" s="259"/>
      <c r="K43" s="209"/>
      <c r="L43" s="259"/>
      <c r="M43" s="209"/>
      <c r="N43" s="315"/>
      <c r="O43" s="284"/>
      <c r="P43" s="315"/>
      <c r="Q43" s="284"/>
      <c r="R43" s="315"/>
      <c r="S43" s="284"/>
      <c r="T43" s="315"/>
      <c r="U43" s="284"/>
      <c r="V43" s="315"/>
      <c r="W43" s="284"/>
      <c r="X43" s="315"/>
      <c r="Y43" s="284"/>
      <c r="Z43" s="1138"/>
      <c r="AA43" s="1069"/>
      <c r="AB43" s="32"/>
      <c r="AC43" s="749"/>
    </row>
    <row r="44" spans="1:29" s="1" customFormat="1" ht="36" x14ac:dyDescent="0.2">
      <c r="A44" s="3"/>
      <c r="B44" s="403" t="s">
        <v>153</v>
      </c>
      <c r="C44" s="131"/>
      <c r="D44" s="137">
        <v>0</v>
      </c>
      <c r="E44" s="32"/>
      <c r="F44" s="155">
        <v>0</v>
      </c>
      <c r="G44" s="209"/>
      <c r="H44" s="315">
        <v>34807</v>
      </c>
      <c r="I44" s="284"/>
      <c r="J44" s="259">
        <v>148192</v>
      </c>
      <c r="K44" s="209"/>
      <c r="L44" s="259">
        <f>114409+37042</f>
        <v>151451</v>
      </c>
      <c r="M44" s="209"/>
      <c r="N44" s="315">
        <v>77643</v>
      </c>
      <c r="O44" s="284"/>
      <c r="P44" s="315">
        <v>0</v>
      </c>
      <c r="Q44" s="284"/>
      <c r="R44" s="315">
        <v>0</v>
      </c>
      <c r="S44" s="284"/>
      <c r="T44" s="315"/>
      <c r="U44" s="284"/>
      <c r="V44" s="315"/>
      <c r="W44" s="284"/>
      <c r="X44" s="315"/>
      <c r="Y44" s="284"/>
      <c r="Z44" s="1138"/>
      <c r="AA44" s="1069"/>
      <c r="AB44" s="32"/>
      <c r="AC44" s="650">
        <f t="shared" ref="AC44:AC46" si="6">AVERAGE(X44,V44,T44,R44,Z44)</f>
        <v>0</v>
      </c>
    </row>
    <row r="45" spans="1:29" s="1" customFormat="1" x14ac:dyDescent="0.2">
      <c r="A45" s="3"/>
      <c r="B45" s="404" t="s">
        <v>43</v>
      </c>
      <c r="C45" s="138"/>
      <c r="D45" s="139">
        <f>SUM(D42:D44)</f>
        <v>0</v>
      </c>
      <c r="E45" s="90"/>
      <c r="F45" s="156">
        <f>SUM(F42:F44)</f>
        <v>0</v>
      </c>
      <c r="G45" s="230"/>
      <c r="H45" s="336">
        <f>SUM(H42:H44)</f>
        <v>189922</v>
      </c>
      <c r="I45" s="307"/>
      <c r="J45" s="354">
        <f>SUM(J42:J44)</f>
        <v>312222</v>
      </c>
      <c r="K45" s="230"/>
      <c r="L45" s="354">
        <f>SUM(L42:L44)</f>
        <v>278200</v>
      </c>
      <c r="M45" s="230"/>
      <c r="N45" s="336">
        <f>SUM(N42:N44)</f>
        <v>209598</v>
      </c>
      <c r="O45" s="307"/>
      <c r="P45" s="336">
        <f>SUM(P42:P44)</f>
        <v>0</v>
      </c>
      <c r="Q45" s="307"/>
      <c r="R45" s="336">
        <f>SUM(R42:R44)</f>
        <v>0</v>
      </c>
      <c r="S45" s="307"/>
      <c r="T45" s="336">
        <f>SUM(T42:T44)</f>
        <v>0</v>
      </c>
      <c r="U45" s="307"/>
      <c r="V45" s="336">
        <f>SUM(V42:V44)</f>
        <v>0</v>
      </c>
      <c r="W45" s="307"/>
      <c r="X45" s="336">
        <f>SUM(X42:X44)</f>
        <v>0</v>
      </c>
      <c r="Y45" s="307"/>
      <c r="Z45" s="1136">
        <f>SUM(Z42:Z44)</f>
        <v>0</v>
      </c>
      <c r="AA45" s="1069"/>
      <c r="AB45" s="32"/>
      <c r="AC45" s="749">
        <f t="shared" si="6"/>
        <v>0</v>
      </c>
    </row>
    <row r="46" spans="1:29" s="1" customFormat="1" ht="13.5" thickBot="1" x14ac:dyDescent="0.25">
      <c r="A46" s="3"/>
      <c r="B46" s="1137" t="s">
        <v>184</v>
      </c>
      <c r="C46" s="209"/>
      <c r="D46" s="336">
        <f>SUM(D40,D45)</f>
        <v>816380</v>
      </c>
      <c r="E46" s="32"/>
      <c r="F46" s="156">
        <f>SUM(F40,F45)</f>
        <v>886215</v>
      </c>
      <c r="G46" s="209"/>
      <c r="H46" s="336">
        <f>SUM(H40,H45)</f>
        <v>1097944</v>
      </c>
      <c r="I46" s="284"/>
      <c r="J46" s="354">
        <f>SUM(J40,J45)</f>
        <v>1210542</v>
      </c>
      <c r="K46" s="209"/>
      <c r="L46" s="354">
        <f>SUM(L40,L45)</f>
        <v>1274662</v>
      </c>
      <c r="M46" s="209"/>
      <c r="N46" s="336">
        <f>SUM(N40,N45)</f>
        <v>1318681</v>
      </c>
      <c r="O46" s="284"/>
      <c r="P46" s="336">
        <f>SUM(P40,P45)</f>
        <v>1262415</v>
      </c>
      <c r="Q46" s="284"/>
      <c r="R46" s="336">
        <f>SUM(R40,R45)</f>
        <v>1287137</v>
      </c>
      <c r="S46" s="284"/>
      <c r="T46" s="336">
        <f>SUM(T40,T45)</f>
        <v>1299860</v>
      </c>
      <c r="U46" s="284"/>
      <c r="V46" s="336">
        <f>SUM(V40,V45)</f>
        <v>1331883</v>
      </c>
      <c r="W46" s="284"/>
      <c r="X46" s="336">
        <f>SUM(X40,X45)</f>
        <v>1378604</v>
      </c>
      <c r="Y46" s="284"/>
      <c r="Z46" s="1136">
        <f>SUM(Z40,Z45)</f>
        <v>1849189</v>
      </c>
      <c r="AA46" s="1069"/>
      <c r="AB46" s="1135"/>
      <c r="AC46" s="749">
        <f t="shared" si="6"/>
        <v>1429334.6</v>
      </c>
    </row>
    <row r="47" spans="1:29" s="1" customFormat="1" ht="12" x14ac:dyDescent="0.2">
      <c r="B47" s="406" t="s">
        <v>157</v>
      </c>
      <c r="C47" s="231"/>
      <c r="D47" s="316"/>
      <c r="E47" s="93"/>
      <c r="F47" s="93"/>
      <c r="G47" s="231"/>
      <c r="H47" s="316"/>
      <c r="I47" s="308"/>
      <c r="J47" s="308"/>
      <c r="K47" s="231"/>
      <c r="L47" s="308"/>
      <c r="M47" s="231"/>
      <c r="N47" s="316"/>
      <c r="O47" s="308"/>
      <c r="P47" s="316"/>
      <c r="Q47" s="308"/>
      <c r="R47" s="316"/>
      <c r="S47" s="308"/>
      <c r="T47" s="316"/>
      <c r="U47" s="308"/>
      <c r="V47" s="316"/>
      <c r="W47" s="308"/>
      <c r="X47" s="316"/>
      <c r="Y47" s="308"/>
      <c r="Z47" s="1134"/>
      <c r="AA47" s="1069"/>
      <c r="AB47" s="4"/>
      <c r="AC47" s="638"/>
    </row>
    <row r="48" spans="1:29" x14ac:dyDescent="0.2">
      <c r="A48" s="1"/>
      <c r="B48" s="48" t="s">
        <v>15</v>
      </c>
      <c r="C48" s="233"/>
      <c r="D48" s="933">
        <f>348097+571921</f>
        <v>920018</v>
      </c>
      <c r="E48" s="59"/>
      <c r="F48" s="1132">
        <v>974138</v>
      </c>
      <c r="G48" s="294"/>
      <c r="H48" s="1133">
        <v>1078872.1200000001</v>
      </c>
      <c r="I48" s="373"/>
      <c r="J48" s="1132">
        <v>1054056.0900000001</v>
      </c>
      <c r="K48" s="294"/>
      <c r="L48" s="1131">
        <f>45275+73998+1197596</f>
        <v>1316869</v>
      </c>
      <c r="M48" s="233"/>
      <c r="N48" s="690">
        <v>1370299</v>
      </c>
      <c r="O48" s="310"/>
      <c r="P48" s="697">
        <v>1482313</v>
      </c>
      <c r="Q48" s="1110"/>
      <c r="R48" s="697">
        <v>1616380</v>
      </c>
      <c r="S48" s="1110"/>
      <c r="T48" s="697">
        <v>1540308</v>
      </c>
      <c r="U48" s="1110"/>
      <c r="V48" s="698">
        <v>1686998</v>
      </c>
      <c r="W48" s="1243"/>
      <c r="X48" s="697">
        <v>1737363.63</v>
      </c>
      <c r="Y48" s="1110"/>
      <c r="Z48" s="1130"/>
      <c r="AA48" s="1120"/>
      <c r="AB48" s="31"/>
      <c r="AC48" s="1086">
        <f>AVERAGE(X48,V48,T48,R48,P48)</f>
        <v>1612672.5260000001</v>
      </c>
    </row>
    <row r="49" spans="1:29" ht="13.5" thickBot="1" x14ac:dyDescent="0.25">
      <c r="A49" s="1"/>
      <c r="B49" s="1129" t="s">
        <v>16</v>
      </c>
      <c r="C49" s="234"/>
      <c r="D49" s="1128">
        <f>3289+57074</f>
        <v>60363</v>
      </c>
      <c r="E49" s="60"/>
      <c r="F49" s="1126">
        <f>320+56927</f>
        <v>57247</v>
      </c>
      <c r="G49" s="1125"/>
      <c r="H49" s="399">
        <v>0</v>
      </c>
      <c r="I49" s="1127"/>
      <c r="J49" s="1126">
        <v>0</v>
      </c>
      <c r="K49" s="1125"/>
      <c r="L49" s="1124">
        <f>334</f>
        <v>334</v>
      </c>
      <c r="M49" s="234"/>
      <c r="N49" s="705">
        <f>90705+22676</f>
        <v>113381</v>
      </c>
      <c r="O49" s="295"/>
      <c r="P49" s="705">
        <f>11102</f>
        <v>11102</v>
      </c>
      <c r="Q49" s="1123"/>
      <c r="R49" s="705">
        <v>19571.41</v>
      </c>
      <c r="S49" s="1123"/>
      <c r="T49" s="705">
        <f>2326.92+9825.67</f>
        <v>12152.59</v>
      </c>
      <c r="U49" s="1123"/>
      <c r="V49" s="705">
        <f>26031+2867+2269</f>
        <v>31167</v>
      </c>
      <c r="W49" s="1123"/>
      <c r="X49" s="705">
        <f>8886.92+42.99</f>
        <v>8929.91</v>
      </c>
      <c r="Y49" s="1123"/>
      <c r="Z49" s="1122"/>
      <c r="AA49" s="1120"/>
      <c r="AB49" s="1121"/>
      <c r="AC49" s="1086">
        <v>1612672.5260000001</v>
      </c>
    </row>
    <row r="50" spans="1:29" ht="13.5" customHeight="1" x14ac:dyDescent="0.2">
      <c r="A50" s="1"/>
      <c r="B50" s="42"/>
      <c r="C50" s="148" t="s">
        <v>74</v>
      </c>
      <c r="D50" s="149" t="s">
        <v>80</v>
      </c>
      <c r="E50" s="73" t="s">
        <v>74</v>
      </c>
      <c r="F50" s="157" t="s">
        <v>80</v>
      </c>
      <c r="G50" s="253" t="s">
        <v>74</v>
      </c>
      <c r="H50" s="318" t="s">
        <v>80</v>
      </c>
      <c r="I50" s="225" t="s">
        <v>74</v>
      </c>
      <c r="J50" s="357" t="s">
        <v>80</v>
      </c>
      <c r="K50" s="253" t="s">
        <v>74</v>
      </c>
      <c r="L50" s="357" t="s">
        <v>80</v>
      </c>
      <c r="M50" s="253" t="s">
        <v>74</v>
      </c>
      <c r="N50" s="318" t="s">
        <v>80</v>
      </c>
      <c r="O50" s="225" t="s">
        <v>74</v>
      </c>
      <c r="P50" s="318" t="s">
        <v>80</v>
      </c>
      <c r="Q50" s="225" t="s">
        <v>74</v>
      </c>
      <c r="R50" s="318" t="s">
        <v>80</v>
      </c>
      <c r="S50" s="225" t="s">
        <v>74</v>
      </c>
      <c r="T50" s="318" t="s">
        <v>80</v>
      </c>
      <c r="U50" s="225" t="s">
        <v>74</v>
      </c>
      <c r="V50" s="318" t="s">
        <v>80</v>
      </c>
      <c r="W50" s="225" t="s">
        <v>74</v>
      </c>
      <c r="X50" s="318" t="s">
        <v>80</v>
      </c>
      <c r="Y50" s="225" t="s">
        <v>74</v>
      </c>
      <c r="Z50" s="237" t="s">
        <v>80</v>
      </c>
      <c r="AA50" s="1120"/>
      <c r="AB50" s="218" t="s">
        <v>74</v>
      </c>
      <c r="AC50" s="237" t="s">
        <v>80</v>
      </c>
    </row>
    <row r="51" spans="1:29" s="1" customFormat="1" ht="11.45" customHeight="1" x14ac:dyDescent="0.2">
      <c r="B51" s="54" t="s">
        <v>35</v>
      </c>
      <c r="C51" s="685">
        <v>2</v>
      </c>
      <c r="D51" s="388">
        <v>399688</v>
      </c>
      <c r="E51" s="1115">
        <v>2</v>
      </c>
      <c r="F51" s="1119">
        <v>379020</v>
      </c>
      <c r="G51" s="689">
        <v>3</v>
      </c>
      <c r="H51" s="805">
        <v>581296</v>
      </c>
      <c r="I51" s="691">
        <v>7</v>
      </c>
      <c r="J51" s="396">
        <v>4188913</v>
      </c>
      <c r="K51" s="689">
        <f>13+4</f>
        <v>17</v>
      </c>
      <c r="L51" s="1118">
        <f>208814+1134581</f>
        <v>1343395</v>
      </c>
      <c r="M51" s="1117">
        <v>11</v>
      </c>
      <c r="N51" s="394">
        <v>1676505</v>
      </c>
      <c r="O51" s="1117">
        <v>8</v>
      </c>
      <c r="P51" s="394">
        <v>1424290</v>
      </c>
      <c r="Q51" s="1117">
        <v>11</v>
      </c>
      <c r="R51" s="394">
        <v>1336536</v>
      </c>
      <c r="S51" s="1117">
        <v>8</v>
      </c>
      <c r="T51" s="394">
        <v>890369</v>
      </c>
      <c r="U51" s="1117">
        <v>5</v>
      </c>
      <c r="V51" s="394">
        <f>1034694+49435</f>
        <v>1084129</v>
      </c>
      <c r="W51" s="1117">
        <v>9</v>
      </c>
      <c r="X51" s="394">
        <v>955438</v>
      </c>
      <c r="Y51" s="962"/>
      <c r="Z51" s="1116"/>
      <c r="AA51" s="1069"/>
      <c r="AB51" s="1115">
        <f t="shared" ref="AB51:AC51" si="7">AVERAGE(W51,U51,S51,Q51,Y51)</f>
        <v>8.25</v>
      </c>
      <c r="AC51" s="630">
        <f t="shared" si="7"/>
        <v>1066618</v>
      </c>
    </row>
    <row r="52" spans="1:29" s="1" customFormat="1" ht="11.45" customHeight="1" x14ac:dyDescent="0.2">
      <c r="B52" s="54"/>
      <c r="C52" s="693"/>
      <c r="D52" s="1114"/>
      <c r="E52" s="1113"/>
      <c r="F52" s="1112"/>
      <c r="G52" s="696"/>
      <c r="H52" s="1111"/>
      <c r="I52" s="276"/>
      <c r="J52" s="397"/>
      <c r="K52" s="696"/>
      <c r="L52" s="1110"/>
      <c r="M52" s="1109"/>
      <c r="N52" s="395"/>
      <c r="O52" s="1109"/>
      <c r="P52" s="395"/>
      <c r="Q52" s="1109"/>
      <c r="R52" s="395"/>
      <c r="S52" s="1109"/>
      <c r="T52" s="395"/>
      <c r="U52" s="1109"/>
      <c r="V52" s="395"/>
      <c r="W52" s="1109"/>
      <c r="X52" s="395"/>
      <c r="Y52" s="1108"/>
      <c r="Z52" s="1107"/>
      <c r="AA52" s="1069"/>
      <c r="AB52" s="1087"/>
      <c r="AC52" s="1086"/>
    </row>
    <row r="53" spans="1:29" s="1" customFormat="1" thickBot="1" x14ac:dyDescent="0.25">
      <c r="B53" s="409" t="s">
        <v>17</v>
      </c>
      <c r="C53" s="700">
        <v>3</v>
      </c>
      <c r="D53" s="1106">
        <v>97198</v>
      </c>
      <c r="E53" s="1101">
        <v>1</v>
      </c>
      <c r="F53" s="1105">
        <v>0</v>
      </c>
      <c r="G53" s="704">
        <v>0</v>
      </c>
      <c r="H53" s="1104">
        <v>9931</v>
      </c>
      <c r="I53" s="706">
        <v>1</v>
      </c>
      <c r="J53" s="398">
        <v>26477</v>
      </c>
      <c r="K53" s="704">
        <f>6+5</f>
        <v>11</v>
      </c>
      <c r="L53" s="398">
        <f>545503+178355</f>
        <v>723858</v>
      </c>
      <c r="M53" s="704">
        <v>1</v>
      </c>
      <c r="N53" s="399">
        <v>132002</v>
      </c>
      <c r="O53" s="704">
        <v>6</v>
      </c>
      <c r="P53" s="399">
        <v>317481</v>
      </c>
      <c r="Q53" s="704">
        <v>3</v>
      </c>
      <c r="R53" s="399">
        <v>198395</v>
      </c>
      <c r="S53" s="704">
        <v>6</v>
      </c>
      <c r="T53" s="399">
        <v>268607</v>
      </c>
      <c r="U53" s="704">
        <v>4</v>
      </c>
      <c r="V53" s="399">
        <f>179012+100454</f>
        <v>279466</v>
      </c>
      <c r="W53" s="704">
        <v>4</v>
      </c>
      <c r="X53" s="399">
        <v>124866</v>
      </c>
      <c r="Y53" s="1103"/>
      <c r="Z53" s="1102"/>
      <c r="AA53" s="1069"/>
      <c r="AB53" s="1101">
        <f t="shared" ref="AB53:AC53" si="8">AVERAGE(W53,U53,S53,Q53,Y53)</f>
        <v>4.25</v>
      </c>
      <c r="AC53" s="1100">
        <f t="shared" si="8"/>
        <v>217833.5</v>
      </c>
    </row>
    <row r="54" spans="1:29" s="1" customFormat="1" thickTop="1" x14ac:dyDescent="0.2">
      <c r="B54" s="406" t="s">
        <v>50</v>
      </c>
      <c r="C54" s="150"/>
      <c r="D54" s="159"/>
      <c r="E54" s="105"/>
      <c r="F54" s="218"/>
      <c r="G54" s="254"/>
      <c r="H54" s="319"/>
      <c r="I54" s="311"/>
      <c r="J54" s="358"/>
      <c r="K54" s="254"/>
      <c r="L54" s="358"/>
      <c r="M54" s="254"/>
      <c r="N54" s="319"/>
      <c r="O54" s="311"/>
      <c r="P54" s="319"/>
      <c r="Q54" s="311"/>
      <c r="R54" s="319"/>
      <c r="S54" s="311"/>
      <c r="T54" s="319"/>
      <c r="U54" s="311"/>
      <c r="V54" s="319"/>
      <c r="W54" s="311"/>
      <c r="X54" s="319"/>
      <c r="Y54" s="311"/>
      <c r="Z54" s="1099"/>
      <c r="AA54" s="1069"/>
      <c r="AB54" s="83"/>
      <c r="AC54" s="1033"/>
    </row>
    <row r="55" spans="1:29" s="1" customFormat="1" ht="12" x14ac:dyDescent="0.2">
      <c r="B55" s="410" t="s">
        <v>51</v>
      </c>
      <c r="C55" s="151"/>
      <c r="D55" s="160"/>
      <c r="E55" s="71"/>
      <c r="F55" s="34"/>
      <c r="G55" s="255"/>
      <c r="H55" s="320"/>
      <c r="I55" s="224"/>
      <c r="J55" s="200"/>
      <c r="K55" s="255"/>
      <c r="L55" s="200"/>
      <c r="M55" s="255"/>
      <c r="N55" s="320"/>
      <c r="O55" s="224"/>
      <c r="P55" s="320"/>
      <c r="Q55" s="224"/>
      <c r="R55" s="320"/>
      <c r="S55" s="224"/>
      <c r="T55" s="320"/>
      <c r="U55" s="224"/>
      <c r="V55" s="320"/>
      <c r="W55" s="224"/>
      <c r="X55" s="320"/>
      <c r="Y55" s="224"/>
      <c r="Z55" s="1098"/>
      <c r="AA55" s="1069"/>
      <c r="AB55" s="1097"/>
      <c r="AC55" s="1096"/>
    </row>
    <row r="56" spans="1:29" s="1" customFormat="1" ht="12" x14ac:dyDescent="0.2">
      <c r="B56" s="835" t="s">
        <v>52</v>
      </c>
      <c r="C56" s="152"/>
      <c r="D56" s="161">
        <v>15200.25</v>
      </c>
      <c r="E56" s="61"/>
      <c r="F56" s="219">
        <v>9138.7999999999993</v>
      </c>
      <c r="G56" s="256"/>
      <c r="H56" s="1095">
        <v>7140</v>
      </c>
      <c r="I56" s="1094"/>
      <c r="J56" s="1093">
        <v>8655.9500000000007</v>
      </c>
      <c r="K56" s="1091"/>
      <c r="L56" s="1092">
        <v>10853.95</v>
      </c>
      <c r="M56" s="1091"/>
      <c r="N56" s="1090">
        <v>13288</v>
      </c>
      <c r="O56" s="1089"/>
      <c r="P56" s="1090">
        <v>9704</v>
      </c>
      <c r="Q56" s="1089"/>
      <c r="R56" s="1090">
        <v>14251</v>
      </c>
      <c r="S56" s="1089"/>
      <c r="T56" s="1090">
        <v>7992.43</v>
      </c>
      <c r="U56" s="1089"/>
      <c r="V56" s="1090">
        <v>5255.46</v>
      </c>
      <c r="W56" s="1089"/>
      <c r="X56" s="1090">
        <v>33184.04</v>
      </c>
      <c r="Y56" s="1089"/>
      <c r="Z56" s="1088"/>
      <c r="AA56" s="1069"/>
      <c r="AB56" s="1087"/>
      <c r="AC56" s="1086">
        <f t="shared" ref="AC56:AC57" si="9">AVERAGE(X56,V56,T56,R56,P56)</f>
        <v>14077.385999999999</v>
      </c>
    </row>
    <row r="57" spans="1:29" s="1" customFormat="1" thickBot="1" x14ac:dyDescent="0.25">
      <c r="B57" s="421" t="s">
        <v>53</v>
      </c>
      <c r="C57" s="153"/>
      <c r="D57" s="162">
        <v>0</v>
      </c>
      <c r="E57" s="62"/>
      <c r="F57" s="220">
        <v>0</v>
      </c>
      <c r="G57" s="257"/>
      <c r="H57" s="1085">
        <v>0</v>
      </c>
      <c r="I57" s="312"/>
      <c r="J57" s="220">
        <v>0</v>
      </c>
      <c r="K57" s="257"/>
      <c r="L57" s="362">
        <v>0</v>
      </c>
      <c r="M57" s="257"/>
      <c r="N57" s="374">
        <v>0</v>
      </c>
      <c r="O57" s="312"/>
      <c r="P57" s="374">
        <v>0</v>
      </c>
      <c r="Q57" s="312"/>
      <c r="R57" s="374">
        <v>0</v>
      </c>
      <c r="S57" s="312"/>
      <c r="T57" s="374">
        <v>0</v>
      </c>
      <c r="U57" s="312"/>
      <c r="V57" s="374">
        <v>0</v>
      </c>
      <c r="W57" s="312"/>
      <c r="X57" s="374">
        <v>0</v>
      </c>
      <c r="Y57" s="312"/>
      <c r="Z57" s="1084"/>
      <c r="AB57" s="1083"/>
      <c r="AC57" s="1082">
        <f t="shared" si="9"/>
        <v>0</v>
      </c>
    </row>
    <row r="58" spans="1:29" ht="13.5" thickTop="1" x14ac:dyDescent="0.2">
      <c r="A58" s="1"/>
      <c r="B58" s="70"/>
      <c r="C58" s="71"/>
      <c r="D58" s="1081"/>
      <c r="E58" s="71"/>
      <c r="F58" s="34"/>
      <c r="G58" s="224"/>
      <c r="H58" s="200"/>
      <c r="I58" s="224"/>
      <c r="J58" s="200"/>
      <c r="K58" s="224"/>
      <c r="L58" s="200"/>
      <c r="M58" s="224"/>
      <c r="N58" s="200"/>
      <c r="O58" s="224"/>
      <c r="P58" s="200"/>
      <c r="Q58" s="224"/>
      <c r="R58" s="200"/>
      <c r="S58" s="224"/>
      <c r="T58" s="200"/>
      <c r="U58" s="224"/>
      <c r="V58" s="200"/>
      <c r="W58" s="224"/>
      <c r="X58" s="200"/>
      <c r="Y58" s="224"/>
      <c r="Z58" s="200"/>
    </row>
    <row r="59" spans="1:29" x14ac:dyDescent="0.2">
      <c r="A59" s="3" t="s">
        <v>46</v>
      </c>
      <c r="B59" s="70"/>
      <c r="C59" s="71"/>
      <c r="D59" s="1081"/>
      <c r="E59" s="71"/>
      <c r="F59" s="34"/>
      <c r="G59" s="224"/>
      <c r="H59" s="200"/>
      <c r="I59" s="224"/>
      <c r="J59" s="200"/>
      <c r="K59" s="224"/>
      <c r="L59" s="200"/>
      <c r="M59" s="224"/>
      <c r="N59" s="200"/>
      <c r="O59" s="224"/>
      <c r="P59" s="200"/>
      <c r="Q59" s="224"/>
      <c r="R59" s="200"/>
      <c r="S59" s="224"/>
      <c r="T59" s="200"/>
      <c r="U59" s="224"/>
      <c r="V59" s="200"/>
      <c r="W59" s="224"/>
      <c r="X59" s="200"/>
      <c r="Y59" s="224"/>
      <c r="Z59" s="200"/>
    </row>
    <row r="60" spans="1:29" ht="13.5" thickBot="1" x14ac:dyDescent="0.25">
      <c r="A60" s="1"/>
      <c r="B60" s="70"/>
      <c r="C60" s="71"/>
      <c r="D60" s="1081"/>
      <c r="E60" s="71"/>
      <c r="F60" s="34"/>
      <c r="G60" s="224"/>
      <c r="H60" s="200"/>
      <c r="I60" s="224"/>
      <c r="J60" s="200"/>
      <c r="K60" s="224"/>
      <c r="L60" s="200"/>
      <c r="M60" s="224"/>
      <c r="N60" s="200"/>
      <c r="O60" s="224"/>
      <c r="P60" s="200"/>
      <c r="Q60" s="224"/>
      <c r="R60" s="200"/>
      <c r="S60" s="224"/>
      <c r="T60" s="200"/>
      <c r="U60" s="224"/>
      <c r="V60" s="200"/>
      <c r="W60" s="224"/>
      <c r="X60" s="200"/>
      <c r="Y60" s="224"/>
      <c r="Z60" s="200"/>
    </row>
    <row r="61" spans="1:29" s="1" customFormat="1" ht="14.25" customHeight="1" thickTop="1" thickBot="1" x14ac:dyDescent="0.25">
      <c r="B61" s="15"/>
      <c r="C61" s="1292" t="s">
        <v>27</v>
      </c>
      <c r="D61" s="1293"/>
      <c r="E61" s="1294" t="s">
        <v>28</v>
      </c>
      <c r="F61" s="1294"/>
      <c r="G61" s="1286" t="s">
        <v>83</v>
      </c>
      <c r="H61" s="1255"/>
      <c r="I61" s="1286" t="s">
        <v>93</v>
      </c>
      <c r="J61" s="1254"/>
      <c r="K61" s="1286" t="s">
        <v>94</v>
      </c>
      <c r="L61" s="1254"/>
      <c r="M61" s="1286" t="s">
        <v>100</v>
      </c>
      <c r="N61" s="1255"/>
      <c r="O61" s="1254" t="s">
        <v>143</v>
      </c>
      <c r="P61" s="1255"/>
      <c r="Q61" s="1254" t="s">
        <v>149</v>
      </c>
      <c r="R61" s="1255"/>
      <c r="S61" s="1254" t="s">
        <v>167</v>
      </c>
      <c r="T61" s="1255"/>
      <c r="U61" s="1254" t="s">
        <v>181</v>
      </c>
      <c r="V61" s="1255"/>
      <c r="W61" s="1254" t="s">
        <v>194</v>
      </c>
      <c r="X61" s="1255"/>
      <c r="Y61" s="1254" t="s">
        <v>203</v>
      </c>
      <c r="Z61" s="1347"/>
      <c r="AB61" s="1259" t="s">
        <v>133</v>
      </c>
      <c r="AC61" s="1268"/>
    </row>
    <row r="62" spans="1:29" s="1" customFormat="1" ht="12" x14ac:dyDescent="0.2">
      <c r="B62" s="14" t="s">
        <v>31</v>
      </c>
      <c r="C62" s="129"/>
      <c r="D62" s="130"/>
      <c r="E62" s="31"/>
      <c r="F62" s="31"/>
      <c r="G62" s="229"/>
      <c r="H62" s="326"/>
      <c r="I62" s="229"/>
      <c r="J62" s="301"/>
      <c r="K62" s="229"/>
      <c r="L62" s="301"/>
      <c r="M62" s="229"/>
      <c r="N62" s="326"/>
      <c r="O62" s="301"/>
      <c r="P62" s="326"/>
      <c r="Q62" s="301"/>
      <c r="R62" s="326"/>
      <c r="S62" s="301"/>
      <c r="T62" s="326"/>
      <c r="U62" s="301"/>
      <c r="V62" s="326"/>
      <c r="W62" s="301"/>
      <c r="X62" s="326"/>
      <c r="Y62" s="301"/>
      <c r="Z62" s="1080"/>
      <c r="AB62" s="523"/>
      <c r="AC62" s="272"/>
    </row>
    <row r="63" spans="1:29" s="1" customFormat="1" ht="12" x14ac:dyDescent="0.2">
      <c r="B63" s="1077" t="s">
        <v>32</v>
      </c>
      <c r="C63" s="131"/>
      <c r="D63" s="164"/>
      <c r="E63" s="32"/>
      <c r="F63" s="52"/>
      <c r="G63" s="209"/>
      <c r="H63" s="305"/>
      <c r="I63" s="209"/>
      <c r="J63" s="101"/>
      <c r="K63" s="209"/>
      <c r="L63" s="101"/>
      <c r="M63" s="209"/>
      <c r="N63" s="305"/>
      <c r="O63" s="284"/>
      <c r="P63" s="305"/>
      <c r="Q63" s="284"/>
      <c r="R63" s="305"/>
      <c r="S63" s="284"/>
      <c r="T63" s="305"/>
      <c r="U63" s="284"/>
      <c r="V63" s="305"/>
      <c r="W63" s="284"/>
      <c r="X63" s="305"/>
      <c r="Y63" s="284"/>
      <c r="Z63" s="1078"/>
      <c r="AB63" s="614"/>
      <c r="AC63" s="1079"/>
    </row>
    <row r="64" spans="1:29" s="1" customFormat="1" ht="12" x14ac:dyDescent="0.2">
      <c r="B64" s="116" t="s">
        <v>33</v>
      </c>
      <c r="C64" s="131"/>
      <c r="D64" s="164">
        <v>9</v>
      </c>
      <c r="E64" s="32"/>
      <c r="F64" s="52">
        <v>10</v>
      </c>
      <c r="G64" s="209"/>
      <c r="H64" s="305">
        <v>9</v>
      </c>
      <c r="I64" s="209"/>
      <c r="J64" s="101">
        <v>9</v>
      </c>
      <c r="K64" s="209"/>
      <c r="L64" s="101">
        <v>11</v>
      </c>
      <c r="M64" s="209"/>
      <c r="N64" s="305">
        <v>12</v>
      </c>
      <c r="O64" s="284"/>
      <c r="P64" s="305">
        <v>13</v>
      </c>
      <c r="Q64" s="284"/>
      <c r="R64" s="305">
        <v>14</v>
      </c>
      <c r="S64" s="284"/>
      <c r="T64" s="305">
        <v>14</v>
      </c>
      <c r="U64" s="284"/>
      <c r="V64" s="305">
        <v>14</v>
      </c>
      <c r="W64" s="284"/>
      <c r="X64" s="305">
        <v>12</v>
      </c>
      <c r="Y64" s="284"/>
      <c r="Z64" s="1078">
        <v>13</v>
      </c>
      <c r="AB64" s="636"/>
      <c r="AC64" s="1075">
        <f t="shared" ref="AC64:AC65" si="10">AVERAGE(X64,V64,T64,R64,Z64)</f>
        <v>13.4</v>
      </c>
    </row>
    <row r="65" spans="2:29" s="1" customFormat="1" ht="12" x14ac:dyDescent="0.2">
      <c r="B65" s="116" t="s">
        <v>103</v>
      </c>
      <c r="C65" s="131"/>
      <c r="D65" s="164">
        <v>0</v>
      </c>
      <c r="E65" s="32"/>
      <c r="F65" s="52">
        <v>0</v>
      </c>
      <c r="G65" s="209"/>
      <c r="H65" s="305">
        <v>1</v>
      </c>
      <c r="I65" s="209"/>
      <c r="J65" s="101">
        <v>3</v>
      </c>
      <c r="K65" s="209"/>
      <c r="L65" s="101">
        <v>0</v>
      </c>
      <c r="M65" s="209"/>
      <c r="N65" s="305">
        <v>0</v>
      </c>
      <c r="O65" s="284"/>
      <c r="P65" s="305">
        <v>0</v>
      </c>
      <c r="Q65" s="284"/>
      <c r="R65" s="305">
        <v>1</v>
      </c>
      <c r="S65" s="284"/>
      <c r="T65" s="305">
        <v>0</v>
      </c>
      <c r="U65" s="284"/>
      <c r="V65" s="305">
        <v>0</v>
      </c>
      <c r="W65" s="284"/>
      <c r="X65" s="305">
        <v>0</v>
      </c>
      <c r="Y65" s="284"/>
      <c r="Z65" s="1078">
        <v>0</v>
      </c>
      <c r="AB65" s="636"/>
      <c r="AC65" s="1075">
        <f t="shared" si="10"/>
        <v>0.2</v>
      </c>
    </row>
    <row r="66" spans="2:29" s="1" customFormat="1" ht="12" x14ac:dyDescent="0.2">
      <c r="B66" s="1077" t="s">
        <v>34</v>
      </c>
      <c r="C66" s="131"/>
      <c r="D66" s="133"/>
      <c r="E66" s="32"/>
      <c r="F66" s="33"/>
      <c r="G66" s="209"/>
      <c r="H66" s="212"/>
      <c r="I66" s="209"/>
      <c r="J66" s="211"/>
      <c r="K66" s="209"/>
      <c r="L66" s="211"/>
      <c r="M66" s="209"/>
      <c r="N66" s="212"/>
      <c r="O66" s="284"/>
      <c r="P66" s="212"/>
      <c r="Q66" s="284"/>
      <c r="R66" s="212"/>
      <c r="S66" s="284"/>
      <c r="T66" s="212"/>
      <c r="U66" s="284"/>
      <c r="V66" s="212"/>
      <c r="W66" s="284"/>
      <c r="X66" s="212"/>
      <c r="Y66" s="284"/>
      <c r="Z66" s="238"/>
      <c r="AB66" s="636"/>
      <c r="AC66" s="1075"/>
    </row>
    <row r="67" spans="2:29" s="1" customFormat="1" ht="12" x14ac:dyDescent="0.2">
      <c r="B67" s="116" t="s">
        <v>33</v>
      </c>
      <c r="C67" s="131"/>
      <c r="D67" s="133">
        <v>1</v>
      </c>
      <c r="E67" s="32"/>
      <c r="F67" s="33">
        <v>0</v>
      </c>
      <c r="G67" s="209"/>
      <c r="H67" s="212">
        <v>1</v>
      </c>
      <c r="I67" s="209"/>
      <c r="J67" s="211">
        <v>1</v>
      </c>
      <c r="K67" s="209"/>
      <c r="L67" s="211">
        <v>1</v>
      </c>
      <c r="M67" s="209"/>
      <c r="N67" s="212">
        <v>1</v>
      </c>
      <c r="O67" s="284"/>
      <c r="P67" s="212">
        <v>0</v>
      </c>
      <c r="Q67" s="284"/>
      <c r="R67" s="212">
        <v>0</v>
      </c>
      <c r="S67" s="284"/>
      <c r="T67" s="212">
        <v>0</v>
      </c>
      <c r="U67" s="284"/>
      <c r="V67" s="212">
        <v>0</v>
      </c>
      <c r="W67" s="284"/>
      <c r="X67" s="212">
        <v>0</v>
      </c>
      <c r="Y67" s="284"/>
      <c r="Z67" s="238">
        <v>0</v>
      </c>
      <c r="AB67" s="636"/>
      <c r="AC67" s="1075">
        <f t="shared" ref="AC67:AC69" si="11">AVERAGE(X67,V67,T67,R67,Z67)</f>
        <v>0</v>
      </c>
    </row>
    <row r="68" spans="2:29" s="1" customFormat="1" ht="12" x14ac:dyDescent="0.2">
      <c r="B68" s="1076" t="s">
        <v>103</v>
      </c>
      <c r="C68" s="131"/>
      <c r="D68" s="133">
        <v>0</v>
      </c>
      <c r="E68" s="32"/>
      <c r="F68" s="33">
        <v>0</v>
      </c>
      <c r="G68" s="209"/>
      <c r="H68" s="212">
        <v>0</v>
      </c>
      <c r="I68" s="209"/>
      <c r="J68" s="211">
        <v>1</v>
      </c>
      <c r="K68" s="209"/>
      <c r="L68" s="211">
        <v>0</v>
      </c>
      <c r="M68" s="209"/>
      <c r="N68" s="212">
        <v>0</v>
      </c>
      <c r="O68" s="284"/>
      <c r="P68" s="212">
        <v>0</v>
      </c>
      <c r="Q68" s="284"/>
      <c r="R68" s="212">
        <v>0</v>
      </c>
      <c r="S68" s="284"/>
      <c r="T68" s="212">
        <v>0</v>
      </c>
      <c r="U68" s="284"/>
      <c r="V68" s="212">
        <v>0</v>
      </c>
      <c r="W68" s="284"/>
      <c r="X68" s="212">
        <v>0</v>
      </c>
      <c r="Y68" s="284"/>
      <c r="Z68" s="238">
        <v>0</v>
      </c>
      <c r="AB68" s="636"/>
      <c r="AC68" s="1075">
        <f t="shared" si="11"/>
        <v>0</v>
      </c>
    </row>
    <row r="69" spans="2:29" s="1" customFormat="1" thickBot="1" x14ac:dyDescent="0.25">
      <c r="B69" s="40" t="s">
        <v>14</v>
      </c>
      <c r="C69" s="165"/>
      <c r="D69" s="135">
        <f>SUM(D64:D68)</f>
        <v>10</v>
      </c>
      <c r="E69" s="79"/>
      <c r="F69" s="56">
        <f>SUM(F64:F68)</f>
        <v>10</v>
      </c>
      <c r="G69" s="260"/>
      <c r="H69" s="306">
        <v>11</v>
      </c>
      <c r="I69" s="260"/>
      <c r="J69" s="364">
        <f>SUM(J64:J68)</f>
        <v>14</v>
      </c>
      <c r="K69" s="260"/>
      <c r="L69" s="364">
        <f>SUM(L64:L68)</f>
        <v>12</v>
      </c>
      <c r="M69" s="260"/>
      <c r="N69" s="306">
        <f>SUM(N64:N68)</f>
        <v>13</v>
      </c>
      <c r="O69" s="339"/>
      <c r="P69" s="306">
        <f>SUM(P64:P68)</f>
        <v>13</v>
      </c>
      <c r="Q69" s="339"/>
      <c r="R69" s="306">
        <f>SUM(R64:R68)</f>
        <v>15</v>
      </c>
      <c r="S69" s="339"/>
      <c r="T69" s="306">
        <f>SUM(T64:T68)</f>
        <v>14</v>
      </c>
      <c r="U69" s="339"/>
      <c r="V69" s="306">
        <f>SUM(V64:V68)</f>
        <v>14</v>
      </c>
      <c r="W69" s="339"/>
      <c r="X69" s="306">
        <f>SUM(X64:X68)</f>
        <v>12</v>
      </c>
      <c r="Y69" s="339"/>
      <c r="Z69" s="1074">
        <f>SUM(Z64:Z68)</f>
        <v>13</v>
      </c>
      <c r="AB69" s="523"/>
      <c r="AC69" s="1073">
        <f t="shared" si="11"/>
        <v>13.6</v>
      </c>
    </row>
    <row r="70" spans="2:29" s="1" customFormat="1" thickTop="1" x14ac:dyDescent="0.2">
      <c r="B70" s="122" t="s">
        <v>76</v>
      </c>
      <c r="C70" s="1035"/>
      <c r="D70" s="1036"/>
      <c r="E70" s="123" t="s">
        <v>74</v>
      </c>
      <c r="F70" s="163" t="s">
        <v>75</v>
      </c>
      <c r="G70" s="248" t="s">
        <v>74</v>
      </c>
      <c r="H70" s="328" t="s">
        <v>75</v>
      </c>
      <c r="I70" s="248" t="s">
        <v>74</v>
      </c>
      <c r="J70" s="363" t="s">
        <v>75</v>
      </c>
      <c r="K70" s="248" t="s">
        <v>74</v>
      </c>
      <c r="L70" s="363" t="s">
        <v>75</v>
      </c>
      <c r="M70" s="248" t="s">
        <v>74</v>
      </c>
      <c r="N70" s="1241" t="s">
        <v>75</v>
      </c>
      <c r="O70" s="322" t="s">
        <v>74</v>
      </c>
      <c r="P70" s="328" t="s">
        <v>75</v>
      </c>
      <c r="Q70" s="322" t="s">
        <v>74</v>
      </c>
      <c r="R70" s="328" t="s">
        <v>75</v>
      </c>
      <c r="S70" s="322" t="s">
        <v>74</v>
      </c>
      <c r="T70" s="328" t="s">
        <v>75</v>
      </c>
      <c r="U70" s="322" t="s">
        <v>74</v>
      </c>
      <c r="V70" s="328" t="s">
        <v>75</v>
      </c>
      <c r="W70" s="322" t="s">
        <v>74</v>
      </c>
      <c r="X70" s="328" t="s">
        <v>75</v>
      </c>
      <c r="Y70" s="322" t="s">
        <v>74</v>
      </c>
      <c r="Z70" s="1072" t="s">
        <v>75</v>
      </c>
      <c r="AB70" s="1034" t="s">
        <v>74</v>
      </c>
      <c r="AC70" s="612" t="s">
        <v>75</v>
      </c>
    </row>
    <row r="71" spans="2:29" s="1" customFormat="1" ht="12" x14ac:dyDescent="0.2">
      <c r="B71" s="116" t="s">
        <v>57</v>
      </c>
      <c r="C71" s="278">
        <v>9</v>
      </c>
      <c r="D71" s="329">
        <f>C71/D$69</f>
        <v>0.9</v>
      </c>
      <c r="E71" s="124">
        <v>10</v>
      </c>
      <c r="F71" s="176">
        <f t="shared" ref="F71:F76" si="12">E71/F$69</f>
        <v>1</v>
      </c>
      <c r="G71" s="168">
        <v>11</v>
      </c>
      <c r="H71" s="329">
        <f t="shared" ref="H71:H76" si="13">G71/H$69</f>
        <v>1</v>
      </c>
      <c r="I71" s="168">
        <v>14</v>
      </c>
      <c r="J71" s="176">
        <f t="shared" ref="J71:J76" si="14">I71/J$69</f>
        <v>1</v>
      </c>
      <c r="K71" s="168">
        <v>11</v>
      </c>
      <c r="L71" s="176">
        <f t="shared" ref="L71:L76" si="15">K71/L$69</f>
        <v>0.91666666666666663</v>
      </c>
      <c r="M71" s="168">
        <v>11</v>
      </c>
      <c r="N71" s="329">
        <f t="shared" ref="N71:N76" si="16">M71/N$69</f>
        <v>0.84615384615384615</v>
      </c>
      <c r="O71" s="124">
        <v>11</v>
      </c>
      <c r="P71" s="329">
        <f t="shared" ref="P71:P76" si="17">O71/P$69</f>
        <v>0.84615384615384615</v>
      </c>
      <c r="Q71" s="124">
        <v>13</v>
      </c>
      <c r="R71" s="329">
        <f t="shared" ref="R71:R78" si="18">Q71/R$69</f>
        <v>0.8666666666666667</v>
      </c>
      <c r="S71" s="124">
        <v>11</v>
      </c>
      <c r="T71" s="329">
        <f t="shared" ref="T71:T78" si="19">S71/T$69</f>
        <v>0.7857142857142857</v>
      </c>
      <c r="U71" s="124">
        <v>12</v>
      </c>
      <c r="V71" s="329">
        <f t="shared" ref="V71:V78" si="20">U71/V$69</f>
        <v>0.8571428571428571</v>
      </c>
      <c r="W71" s="124">
        <v>11</v>
      </c>
      <c r="X71" s="329">
        <f t="shared" ref="X71:X78" si="21">W71/X$69</f>
        <v>0.91666666666666663</v>
      </c>
      <c r="Y71" s="124">
        <v>12</v>
      </c>
      <c r="Z71" s="1066">
        <f t="shared" ref="Z71:Z78" si="22">Y71/Z$69</f>
        <v>0.92307692307692313</v>
      </c>
      <c r="AA71" s="1069"/>
      <c r="AB71" s="662">
        <f t="shared" ref="AB71:AB78" si="23">AVERAGE(W71,U71,S71,Q71,Y71)</f>
        <v>11.8</v>
      </c>
      <c r="AC71" s="665">
        <f t="shared" ref="AC71:AC78" si="24">AVERAGE(X71,V71,T71,R71,Z71)</f>
        <v>0.86985347985347983</v>
      </c>
    </row>
    <row r="72" spans="2:29" s="1" customFormat="1" ht="12" x14ac:dyDescent="0.2">
      <c r="B72" s="117" t="s">
        <v>58</v>
      </c>
      <c r="C72" s="278">
        <v>0</v>
      </c>
      <c r="D72" s="329">
        <f>C72/$D$69</f>
        <v>0</v>
      </c>
      <c r="E72" s="124">
        <v>0</v>
      </c>
      <c r="F72" s="176">
        <f t="shared" si="12"/>
        <v>0</v>
      </c>
      <c r="G72" s="168">
        <v>0</v>
      </c>
      <c r="H72" s="329">
        <f t="shared" si="13"/>
        <v>0</v>
      </c>
      <c r="I72" s="168">
        <v>0</v>
      </c>
      <c r="J72" s="176">
        <f t="shared" si="14"/>
        <v>0</v>
      </c>
      <c r="K72" s="168">
        <v>0</v>
      </c>
      <c r="L72" s="176">
        <f t="shared" si="15"/>
        <v>0</v>
      </c>
      <c r="M72" s="168"/>
      <c r="N72" s="329">
        <f t="shared" si="16"/>
        <v>0</v>
      </c>
      <c r="O72" s="124"/>
      <c r="P72" s="329">
        <f t="shared" si="17"/>
        <v>0</v>
      </c>
      <c r="Q72" s="124">
        <v>0</v>
      </c>
      <c r="R72" s="329">
        <f t="shared" si="18"/>
        <v>0</v>
      </c>
      <c r="S72" s="124">
        <v>0</v>
      </c>
      <c r="T72" s="329">
        <f t="shared" si="19"/>
        <v>0</v>
      </c>
      <c r="U72" s="124">
        <v>0</v>
      </c>
      <c r="V72" s="329">
        <f t="shared" si="20"/>
        <v>0</v>
      </c>
      <c r="W72" s="124">
        <v>0</v>
      </c>
      <c r="X72" s="329">
        <f t="shared" si="21"/>
        <v>0</v>
      </c>
      <c r="Y72" s="124">
        <v>0</v>
      </c>
      <c r="Z72" s="1066">
        <f t="shared" si="22"/>
        <v>0</v>
      </c>
      <c r="AA72" s="1069"/>
      <c r="AB72" s="662">
        <f t="shared" si="23"/>
        <v>0</v>
      </c>
      <c r="AC72" s="665">
        <f t="shared" si="24"/>
        <v>0</v>
      </c>
    </row>
    <row r="73" spans="2:29" s="1" customFormat="1" ht="12" x14ac:dyDescent="0.2">
      <c r="B73" s="117" t="s">
        <v>59</v>
      </c>
      <c r="C73" s="278">
        <v>0</v>
      </c>
      <c r="D73" s="329">
        <f>C73/$D$69</f>
        <v>0</v>
      </c>
      <c r="E73" s="124">
        <v>0</v>
      </c>
      <c r="F73" s="176">
        <f t="shared" si="12"/>
        <v>0</v>
      </c>
      <c r="G73" s="168">
        <v>0</v>
      </c>
      <c r="H73" s="329">
        <f t="shared" si="13"/>
        <v>0</v>
      </c>
      <c r="I73" s="168">
        <v>0</v>
      </c>
      <c r="J73" s="176">
        <f t="shared" si="14"/>
        <v>0</v>
      </c>
      <c r="K73" s="168">
        <v>1</v>
      </c>
      <c r="L73" s="176">
        <f t="shared" si="15"/>
        <v>8.3333333333333329E-2</v>
      </c>
      <c r="M73" s="168">
        <v>1</v>
      </c>
      <c r="N73" s="329">
        <f t="shared" si="16"/>
        <v>7.6923076923076927E-2</v>
      </c>
      <c r="O73" s="124">
        <v>1</v>
      </c>
      <c r="P73" s="329">
        <f t="shared" si="17"/>
        <v>7.6923076923076927E-2</v>
      </c>
      <c r="Q73" s="124">
        <v>1</v>
      </c>
      <c r="R73" s="329">
        <f t="shared" si="18"/>
        <v>6.6666666666666666E-2</v>
      </c>
      <c r="S73" s="124">
        <v>1</v>
      </c>
      <c r="T73" s="329">
        <f t="shared" si="19"/>
        <v>7.1428571428571425E-2</v>
      </c>
      <c r="U73" s="124">
        <v>1</v>
      </c>
      <c r="V73" s="329">
        <f t="shared" si="20"/>
        <v>7.1428571428571425E-2</v>
      </c>
      <c r="W73" s="124">
        <v>0</v>
      </c>
      <c r="X73" s="329">
        <f t="shared" si="21"/>
        <v>0</v>
      </c>
      <c r="Y73" s="124">
        <v>0</v>
      </c>
      <c r="Z73" s="1066">
        <f t="shared" si="22"/>
        <v>0</v>
      </c>
      <c r="AA73" s="1069"/>
      <c r="AB73" s="662">
        <f t="shared" si="23"/>
        <v>0.6</v>
      </c>
      <c r="AC73" s="665">
        <f t="shared" si="24"/>
        <v>4.1904761904761903E-2</v>
      </c>
    </row>
    <row r="74" spans="2:29" s="1" customFormat="1" ht="12" x14ac:dyDescent="0.2">
      <c r="B74" s="117" t="s">
        <v>60</v>
      </c>
      <c r="C74" s="278">
        <v>0</v>
      </c>
      <c r="D74" s="329">
        <f>C74/$D$69</f>
        <v>0</v>
      </c>
      <c r="E74" s="124">
        <v>0</v>
      </c>
      <c r="F74" s="176">
        <f t="shared" si="12"/>
        <v>0</v>
      </c>
      <c r="G74" s="168">
        <v>0</v>
      </c>
      <c r="H74" s="329">
        <f t="shared" si="13"/>
        <v>0</v>
      </c>
      <c r="I74" s="168">
        <v>0</v>
      </c>
      <c r="J74" s="176">
        <f t="shared" si="14"/>
        <v>0</v>
      </c>
      <c r="K74" s="168">
        <v>0</v>
      </c>
      <c r="L74" s="176">
        <f t="shared" si="15"/>
        <v>0</v>
      </c>
      <c r="M74" s="168"/>
      <c r="N74" s="329">
        <f t="shared" si="16"/>
        <v>0</v>
      </c>
      <c r="O74" s="124"/>
      <c r="P74" s="329">
        <f t="shared" si="17"/>
        <v>0</v>
      </c>
      <c r="Q74" s="124">
        <v>0</v>
      </c>
      <c r="R74" s="329">
        <f t="shared" si="18"/>
        <v>0</v>
      </c>
      <c r="S74" s="124">
        <v>0</v>
      </c>
      <c r="T74" s="329">
        <f t="shared" si="19"/>
        <v>0</v>
      </c>
      <c r="U74" s="124">
        <v>0</v>
      </c>
      <c r="V74" s="329">
        <f t="shared" si="20"/>
        <v>0</v>
      </c>
      <c r="W74" s="124">
        <v>0</v>
      </c>
      <c r="X74" s="329">
        <f t="shared" si="21"/>
        <v>0</v>
      </c>
      <c r="Y74" s="124">
        <v>0</v>
      </c>
      <c r="Z74" s="1066">
        <f t="shared" si="22"/>
        <v>0</v>
      </c>
      <c r="AA74" s="1069"/>
      <c r="AB74" s="662">
        <f t="shared" si="23"/>
        <v>0</v>
      </c>
      <c r="AC74" s="665">
        <f t="shared" si="24"/>
        <v>0</v>
      </c>
    </row>
    <row r="75" spans="2:29" s="1" customFormat="1" ht="12" x14ac:dyDescent="0.2">
      <c r="B75" s="117" t="s">
        <v>61</v>
      </c>
      <c r="C75" s="278">
        <v>0</v>
      </c>
      <c r="D75" s="329">
        <f>C75/$D$69</f>
        <v>0</v>
      </c>
      <c r="E75" s="124">
        <v>0</v>
      </c>
      <c r="F75" s="176">
        <f t="shared" si="12"/>
        <v>0</v>
      </c>
      <c r="G75" s="168">
        <v>0</v>
      </c>
      <c r="H75" s="329">
        <f t="shared" si="13"/>
        <v>0</v>
      </c>
      <c r="I75" s="168">
        <v>0</v>
      </c>
      <c r="J75" s="176">
        <f t="shared" si="14"/>
        <v>0</v>
      </c>
      <c r="K75" s="168">
        <v>0</v>
      </c>
      <c r="L75" s="176">
        <f t="shared" si="15"/>
        <v>0</v>
      </c>
      <c r="M75" s="168"/>
      <c r="N75" s="329">
        <f t="shared" si="16"/>
        <v>0</v>
      </c>
      <c r="O75" s="124"/>
      <c r="P75" s="329">
        <f t="shared" si="17"/>
        <v>0</v>
      </c>
      <c r="Q75" s="124">
        <v>0</v>
      </c>
      <c r="R75" s="329">
        <f t="shared" si="18"/>
        <v>0</v>
      </c>
      <c r="S75" s="124">
        <v>0</v>
      </c>
      <c r="T75" s="329">
        <f t="shared" si="19"/>
        <v>0</v>
      </c>
      <c r="U75" s="124">
        <v>0</v>
      </c>
      <c r="V75" s="329">
        <f t="shared" si="20"/>
        <v>0</v>
      </c>
      <c r="W75" s="124">
        <v>0</v>
      </c>
      <c r="X75" s="329">
        <f t="shared" si="21"/>
        <v>0</v>
      </c>
      <c r="Y75" s="124">
        <v>0</v>
      </c>
      <c r="Z75" s="1066">
        <f t="shared" si="22"/>
        <v>0</v>
      </c>
      <c r="AA75" s="1069"/>
      <c r="AB75" s="662">
        <f t="shared" si="23"/>
        <v>0</v>
      </c>
      <c r="AC75" s="665">
        <f t="shared" si="24"/>
        <v>0</v>
      </c>
    </row>
    <row r="76" spans="2:29" s="1" customFormat="1" ht="12" x14ac:dyDescent="0.2">
      <c r="B76" s="117" t="s">
        <v>62</v>
      </c>
      <c r="C76" s="278">
        <v>1</v>
      </c>
      <c r="D76" s="329">
        <f>C76/$D$69</f>
        <v>0.1</v>
      </c>
      <c r="E76" s="124">
        <v>0</v>
      </c>
      <c r="F76" s="176">
        <f t="shared" si="12"/>
        <v>0</v>
      </c>
      <c r="G76" s="168">
        <v>0</v>
      </c>
      <c r="H76" s="329">
        <f t="shared" si="13"/>
        <v>0</v>
      </c>
      <c r="I76" s="168">
        <v>0</v>
      </c>
      <c r="J76" s="176">
        <f t="shared" si="14"/>
        <v>0</v>
      </c>
      <c r="K76" s="168">
        <v>0</v>
      </c>
      <c r="L76" s="176">
        <f t="shared" si="15"/>
        <v>0</v>
      </c>
      <c r="M76" s="168">
        <v>1</v>
      </c>
      <c r="N76" s="329">
        <f t="shared" si="16"/>
        <v>7.6923076923076927E-2</v>
      </c>
      <c r="O76" s="124">
        <v>1</v>
      </c>
      <c r="P76" s="329">
        <f t="shared" si="17"/>
        <v>7.6923076923076927E-2</v>
      </c>
      <c r="Q76" s="124">
        <v>1</v>
      </c>
      <c r="R76" s="329">
        <f t="shared" si="18"/>
        <v>6.6666666666666666E-2</v>
      </c>
      <c r="S76" s="124">
        <v>1</v>
      </c>
      <c r="T76" s="329">
        <f t="shared" si="19"/>
        <v>7.1428571428571425E-2</v>
      </c>
      <c r="U76" s="124">
        <v>0</v>
      </c>
      <c r="V76" s="329">
        <f t="shared" si="20"/>
        <v>0</v>
      </c>
      <c r="W76" s="124">
        <v>0</v>
      </c>
      <c r="X76" s="329">
        <f t="shared" si="21"/>
        <v>0</v>
      </c>
      <c r="Y76" s="124">
        <v>0</v>
      </c>
      <c r="Z76" s="1066">
        <f t="shared" si="22"/>
        <v>0</v>
      </c>
      <c r="AA76" s="1069"/>
      <c r="AB76" s="662">
        <f t="shared" si="23"/>
        <v>0.4</v>
      </c>
      <c r="AC76" s="665">
        <f t="shared" si="24"/>
        <v>2.7619047619047619E-2</v>
      </c>
    </row>
    <row r="77" spans="2:29" s="1" customFormat="1" ht="12" x14ac:dyDescent="0.2">
      <c r="B77" s="117" t="s">
        <v>155</v>
      </c>
      <c r="C77" s="279"/>
      <c r="D77" s="329"/>
      <c r="E77" s="125"/>
      <c r="F77" s="176"/>
      <c r="G77" s="910"/>
      <c r="H77" s="911"/>
      <c r="I77" s="910"/>
      <c r="J77" s="913"/>
      <c r="K77" s="910"/>
      <c r="L77" s="913"/>
      <c r="M77" s="910"/>
      <c r="N77" s="911"/>
      <c r="O77" s="912"/>
      <c r="P77" s="911"/>
      <c r="Q77" s="125">
        <v>0</v>
      </c>
      <c r="R77" s="329">
        <f t="shared" si="18"/>
        <v>0</v>
      </c>
      <c r="S77" s="125">
        <v>1</v>
      </c>
      <c r="T77" s="329">
        <f t="shared" si="19"/>
        <v>7.1428571428571425E-2</v>
      </c>
      <c r="U77" s="125">
        <v>1</v>
      </c>
      <c r="V77" s="329">
        <f t="shared" si="20"/>
        <v>7.1428571428571425E-2</v>
      </c>
      <c r="W77" s="125">
        <v>1</v>
      </c>
      <c r="X77" s="329">
        <f t="shared" si="21"/>
        <v>8.3333333333333329E-2</v>
      </c>
      <c r="Y77" s="125">
        <v>1</v>
      </c>
      <c r="Z77" s="1066">
        <f t="shared" si="22"/>
        <v>7.6923076923076927E-2</v>
      </c>
      <c r="AA77" s="1069"/>
      <c r="AB77" s="662">
        <f t="shared" si="23"/>
        <v>0.8</v>
      </c>
      <c r="AC77" s="665">
        <f t="shared" si="24"/>
        <v>6.0622710622710629E-2</v>
      </c>
    </row>
    <row r="78" spans="2:29" s="1" customFormat="1" ht="12" x14ac:dyDescent="0.2">
      <c r="B78" s="117" t="s">
        <v>63</v>
      </c>
      <c r="C78" s="279">
        <v>0</v>
      </c>
      <c r="D78" s="329">
        <f>C78/$D$69</f>
        <v>0</v>
      </c>
      <c r="E78" s="125">
        <v>0</v>
      </c>
      <c r="F78" s="176">
        <f>E78/F$69</f>
        <v>0</v>
      </c>
      <c r="G78" s="170">
        <v>0</v>
      </c>
      <c r="H78" s="329">
        <f>G78/H$69</f>
        <v>0</v>
      </c>
      <c r="I78" s="170">
        <v>0</v>
      </c>
      <c r="J78" s="176">
        <f>I78/J$69</f>
        <v>0</v>
      </c>
      <c r="K78" s="170">
        <v>0</v>
      </c>
      <c r="L78" s="176">
        <f>K78/L$69</f>
        <v>0</v>
      </c>
      <c r="M78" s="170"/>
      <c r="N78" s="329">
        <f>M78/N$69</f>
        <v>0</v>
      </c>
      <c r="O78" s="125"/>
      <c r="P78" s="329">
        <f>O78/P$69</f>
        <v>0</v>
      </c>
      <c r="Q78" s="125">
        <v>0</v>
      </c>
      <c r="R78" s="329">
        <f t="shared" si="18"/>
        <v>0</v>
      </c>
      <c r="S78" s="125">
        <v>0</v>
      </c>
      <c r="T78" s="329">
        <f t="shared" si="19"/>
        <v>0</v>
      </c>
      <c r="U78" s="125">
        <v>0</v>
      </c>
      <c r="V78" s="329">
        <f t="shared" si="20"/>
        <v>0</v>
      </c>
      <c r="W78" s="125">
        <v>0</v>
      </c>
      <c r="X78" s="329">
        <f t="shared" si="21"/>
        <v>0</v>
      </c>
      <c r="Y78" s="125">
        <v>0</v>
      </c>
      <c r="Z78" s="1066">
        <f t="shared" si="22"/>
        <v>0</v>
      </c>
      <c r="AA78" s="1069"/>
      <c r="AB78" s="662">
        <f t="shared" si="23"/>
        <v>0</v>
      </c>
      <c r="AC78" s="665">
        <f t="shared" si="24"/>
        <v>0</v>
      </c>
    </row>
    <row r="79" spans="2:29" s="1" customFormat="1" ht="12" x14ac:dyDescent="0.2">
      <c r="B79" s="114" t="s">
        <v>77</v>
      </c>
      <c r="C79" s="1071"/>
      <c r="D79" s="329"/>
      <c r="E79" s="180"/>
      <c r="F79" s="221"/>
      <c r="G79" s="249"/>
      <c r="H79" s="330"/>
      <c r="I79" s="249"/>
      <c r="J79" s="221"/>
      <c r="K79" s="249"/>
      <c r="L79" s="221"/>
      <c r="M79" s="249"/>
      <c r="N79" s="330"/>
      <c r="O79" s="180"/>
      <c r="P79" s="330"/>
      <c r="Q79" s="180"/>
      <c r="R79" s="330"/>
      <c r="S79" s="180"/>
      <c r="T79" s="330"/>
      <c r="U79" s="180"/>
      <c r="V79" s="330"/>
      <c r="W79" s="180"/>
      <c r="X79" s="330"/>
      <c r="Y79" s="180"/>
      <c r="Z79" s="1070"/>
      <c r="AA79" s="1069"/>
      <c r="AB79" s="662"/>
      <c r="AC79" s="665"/>
    </row>
    <row r="80" spans="2:29" s="1" customFormat="1" ht="12" x14ac:dyDescent="0.2">
      <c r="B80" s="116" t="s">
        <v>64</v>
      </c>
      <c r="C80" s="250">
        <v>8</v>
      </c>
      <c r="D80" s="329">
        <f>C80/$D$69</f>
        <v>0.8</v>
      </c>
      <c r="E80" s="52">
        <v>9</v>
      </c>
      <c r="F80" s="222">
        <f>E80/F$69</f>
        <v>0.9</v>
      </c>
      <c r="G80" s="183">
        <v>7</v>
      </c>
      <c r="H80" s="331">
        <f>G80/H$69</f>
        <v>0.63636363636363635</v>
      </c>
      <c r="I80" s="183">
        <v>8</v>
      </c>
      <c r="J80" s="176">
        <f>I80/J$69</f>
        <v>0.5714285714285714</v>
      </c>
      <c r="K80" s="183">
        <v>9</v>
      </c>
      <c r="L80" s="176">
        <f>K80/L$69</f>
        <v>0.75</v>
      </c>
      <c r="M80" s="183">
        <v>9</v>
      </c>
      <c r="N80" s="329">
        <f>M80/N$69</f>
        <v>0.69230769230769229</v>
      </c>
      <c r="O80" s="101">
        <v>9</v>
      </c>
      <c r="P80" s="329">
        <f>O80/P$69</f>
        <v>0.69230769230769229</v>
      </c>
      <c r="Q80" s="101">
        <v>9</v>
      </c>
      <c r="R80" s="329">
        <f>Q80/R$69</f>
        <v>0.6</v>
      </c>
      <c r="S80" s="101">
        <v>9</v>
      </c>
      <c r="T80" s="329">
        <f>S80/T$69</f>
        <v>0.6428571428571429</v>
      </c>
      <c r="U80" s="101">
        <v>9</v>
      </c>
      <c r="V80" s="329">
        <f>U80/V$69</f>
        <v>0.6428571428571429</v>
      </c>
      <c r="W80" s="101">
        <v>8</v>
      </c>
      <c r="X80" s="329">
        <f>W80/X$69</f>
        <v>0.66666666666666663</v>
      </c>
      <c r="Y80" s="101">
        <v>9</v>
      </c>
      <c r="Z80" s="1066">
        <f>Y80/Z$69</f>
        <v>0.69230769230769229</v>
      </c>
      <c r="AA80" s="1069"/>
      <c r="AB80" s="662">
        <f t="shared" ref="AB80:AB81" si="25">AVERAGE(W80,U80,S80,Q80,Y80)</f>
        <v>8.8000000000000007</v>
      </c>
      <c r="AC80" s="665">
        <f t="shared" ref="AC80:AC81" si="26">AVERAGE(X80,V80,T80,R80,Z80)</f>
        <v>0.64893772893772894</v>
      </c>
    </row>
    <row r="81" spans="1:31" s="1" customFormat="1" ht="12" x14ac:dyDescent="0.2">
      <c r="B81" s="116" t="s">
        <v>65</v>
      </c>
      <c r="C81" s="250">
        <v>2</v>
      </c>
      <c r="D81" s="329">
        <f>C81/$D$69</f>
        <v>0.2</v>
      </c>
      <c r="E81" s="178">
        <v>1</v>
      </c>
      <c r="F81" s="222">
        <f>E81/F$69</f>
        <v>0.1</v>
      </c>
      <c r="G81" s="250">
        <v>4</v>
      </c>
      <c r="H81" s="331">
        <f>G81/H$69</f>
        <v>0.36363636363636365</v>
      </c>
      <c r="I81" s="250">
        <v>6</v>
      </c>
      <c r="J81" s="176">
        <f>I81/J$69</f>
        <v>0.42857142857142855</v>
      </c>
      <c r="K81" s="250">
        <v>3</v>
      </c>
      <c r="L81" s="176">
        <f>K81/L$69</f>
        <v>0.25</v>
      </c>
      <c r="M81" s="250">
        <v>4</v>
      </c>
      <c r="N81" s="329">
        <f>M81/N$69</f>
        <v>0.30769230769230771</v>
      </c>
      <c r="O81" s="323">
        <v>4</v>
      </c>
      <c r="P81" s="329">
        <f>O81/P$69</f>
        <v>0.30769230769230771</v>
      </c>
      <c r="Q81" s="323">
        <v>6</v>
      </c>
      <c r="R81" s="329">
        <f>Q81/R$69</f>
        <v>0.4</v>
      </c>
      <c r="S81" s="323">
        <v>5</v>
      </c>
      <c r="T81" s="329">
        <f>S81/T$69</f>
        <v>0.35714285714285715</v>
      </c>
      <c r="U81" s="323">
        <v>5</v>
      </c>
      <c r="V81" s="329">
        <f>U81/V$69</f>
        <v>0.35714285714285715</v>
      </c>
      <c r="W81" s="323">
        <v>4</v>
      </c>
      <c r="X81" s="329">
        <f>W81/X$69</f>
        <v>0.33333333333333331</v>
      </c>
      <c r="Y81" s="323">
        <v>4</v>
      </c>
      <c r="Z81" s="1066">
        <f>Y81/Z$69</f>
        <v>0.30769230769230771</v>
      </c>
      <c r="AA81" s="1069"/>
      <c r="AB81" s="662">
        <f t="shared" si="25"/>
        <v>4.8</v>
      </c>
      <c r="AC81" s="665">
        <f t="shared" si="26"/>
        <v>0.35106227106227111</v>
      </c>
    </row>
    <row r="82" spans="1:31" s="1" customFormat="1" ht="12" x14ac:dyDescent="0.2">
      <c r="B82" s="114" t="s">
        <v>78</v>
      </c>
      <c r="C82" s="1068"/>
      <c r="D82" s="329"/>
      <c r="E82" s="181"/>
      <c r="F82" s="222"/>
      <c r="G82" s="251"/>
      <c r="H82" s="331"/>
      <c r="I82" s="251"/>
      <c r="J82" s="176"/>
      <c r="K82" s="251"/>
      <c r="L82" s="176"/>
      <c r="M82" s="251"/>
      <c r="N82" s="329"/>
      <c r="O82" s="324"/>
      <c r="P82" s="329"/>
      <c r="Q82" s="324"/>
      <c r="R82" s="329"/>
      <c r="S82" s="324"/>
      <c r="T82" s="329"/>
      <c r="U82" s="324"/>
      <c r="V82" s="329"/>
      <c r="W82" s="324"/>
      <c r="X82" s="329"/>
      <c r="Y82" s="324"/>
      <c r="Z82" s="1066"/>
      <c r="AB82" s="662"/>
      <c r="AC82" s="665"/>
    </row>
    <row r="83" spans="1:31" s="1" customFormat="1" ht="12" x14ac:dyDescent="0.2">
      <c r="B83" s="116" t="s">
        <v>66</v>
      </c>
      <c r="C83" s="1067">
        <v>7</v>
      </c>
      <c r="D83" s="329">
        <f>C83/$D$69</f>
        <v>0.7</v>
      </c>
      <c r="E83" s="178">
        <v>7</v>
      </c>
      <c r="F83" s="222">
        <f>E83/F$69</f>
        <v>0.7</v>
      </c>
      <c r="G83" s="250">
        <v>7</v>
      </c>
      <c r="H83" s="331">
        <f>G83/H$69</f>
        <v>0.63636363636363635</v>
      </c>
      <c r="I83" s="250">
        <v>6</v>
      </c>
      <c r="J83" s="176">
        <f>I83/J$69</f>
        <v>0.42857142857142855</v>
      </c>
      <c r="K83" s="250">
        <v>6</v>
      </c>
      <c r="L83" s="176">
        <f>K83/L$69</f>
        <v>0.5</v>
      </c>
      <c r="M83" s="250">
        <v>6</v>
      </c>
      <c r="N83" s="329">
        <f>M83/N$69</f>
        <v>0.46153846153846156</v>
      </c>
      <c r="O83" s="323">
        <v>6</v>
      </c>
      <c r="P83" s="329">
        <f>O83/P$69</f>
        <v>0.46153846153846156</v>
      </c>
      <c r="Q83" s="323">
        <v>6</v>
      </c>
      <c r="R83" s="329">
        <f>Q83/R$69</f>
        <v>0.4</v>
      </c>
      <c r="S83" s="323">
        <v>6</v>
      </c>
      <c r="T83" s="329">
        <f>S83/T$69</f>
        <v>0.42857142857142855</v>
      </c>
      <c r="U83" s="323">
        <v>6</v>
      </c>
      <c r="V83" s="329">
        <f>U83/V$69</f>
        <v>0.42857142857142855</v>
      </c>
      <c r="W83" s="323">
        <v>6</v>
      </c>
      <c r="X83" s="329">
        <f>W83/X$69</f>
        <v>0.5</v>
      </c>
      <c r="Y83" s="323">
        <v>7</v>
      </c>
      <c r="Z83" s="1066">
        <f>Y83/Z$69</f>
        <v>0.53846153846153844</v>
      </c>
      <c r="AB83" s="662">
        <f t="shared" ref="AB83:AB85" si="27">AVERAGE(W83,U83,S83,Q83,Y83)</f>
        <v>6.2</v>
      </c>
      <c r="AC83" s="665">
        <f t="shared" ref="AC83:AC85" si="28">AVERAGE(X83,V83,T83,R83,Z83)</f>
        <v>0.45912087912087907</v>
      </c>
    </row>
    <row r="84" spans="1:31" s="1" customFormat="1" ht="12" x14ac:dyDescent="0.2">
      <c r="B84" s="116" t="s">
        <v>67</v>
      </c>
      <c r="C84" s="1067">
        <v>2</v>
      </c>
      <c r="D84" s="329">
        <f>C84/$D$69</f>
        <v>0.2</v>
      </c>
      <c r="E84" s="178">
        <v>1</v>
      </c>
      <c r="F84" s="222">
        <f>E84/F$69</f>
        <v>0.1</v>
      </c>
      <c r="G84" s="250">
        <v>1</v>
      </c>
      <c r="H84" s="331">
        <f>G84/H$69</f>
        <v>9.0909090909090912E-2</v>
      </c>
      <c r="I84" s="250">
        <v>2</v>
      </c>
      <c r="J84" s="176">
        <f>I84/J$69</f>
        <v>0.14285714285714285</v>
      </c>
      <c r="K84" s="250">
        <v>4</v>
      </c>
      <c r="L84" s="176">
        <f>K84/L$69</f>
        <v>0.33333333333333331</v>
      </c>
      <c r="M84" s="250">
        <v>4</v>
      </c>
      <c r="N84" s="329">
        <f>M84/N$69</f>
        <v>0.30769230769230771</v>
      </c>
      <c r="O84" s="323">
        <v>4</v>
      </c>
      <c r="P84" s="329">
        <f>O84/P$69</f>
        <v>0.30769230769230771</v>
      </c>
      <c r="Q84" s="323">
        <v>4</v>
      </c>
      <c r="R84" s="329">
        <f>Q84/R$69</f>
        <v>0.26666666666666666</v>
      </c>
      <c r="S84" s="323">
        <v>3</v>
      </c>
      <c r="T84" s="329">
        <f>S84/T$69</f>
        <v>0.21428571428571427</v>
      </c>
      <c r="U84" s="323">
        <v>4</v>
      </c>
      <c r="V84" s="329">
        <f>U84/V$69</f>
        <v>0.2857142857142857</v>
      </c>
      <c r="W84" s="323">
        <v>3</v>
      </c>
      <c r="X84" s="329">
        <f>W84/X$69</f>
        <v>0.25</v>
      </c>
      <c r="Y84" s="323">
        <v>3</v>
      </c>
      <c r="Z84" s="1066">
        <f>Y84/Z$69</f>
        <v>0.23076923076923078</v>
      </c>
      <c r="AB84" s="662">
        <f t="shared" si="27"/>
        <v>3.4</v>
      </c>
      <c r="AC84" s="665">
        <f t="shared" si="28"/>
        <v>0.24948717948717949</v>
      </c>
    </row>
    <row r="85" spans="1:31" s="1" customFormat="1" ht="12" x14ac:dyDescent="0.2">
      <c r="B85" s="116" t="s">
        <v>68</v>
      </c>
      <c r="C85" s="1067">
        <v>1</v>
      </c>
      <c r="D85" s="329">
        <f>C85/$D$69</f>
        <v>0.1</v>
      </c>
      <c r="E85" s="178">
        <v>2</v>
      </c>
      <c r="F85" s="222">
        <f>E85/F$69</f>
        <v>0.2</v>
      </c>
      <c r="G85" s="250">
        <v>3</v>
      </c>
      <c r="H85" s="331">
        <f>G85/H$69</f>
        <v>0.27272727272727271</v>
      </c>
      <c r="I85" s="250">
        <v>6</v>
      </c>
      <c r="J85" s="176">
        <f>I85/J$69</f>
        <v>0.42857142857142855</v>
      </c>
      <c r="K85" s="250">
        <v>2</v>
      </c>
      <c r="L85" s="176">
        <f>K85/L$69</f>
        <v>0.16666666666666666</v>
      </c>
      <c r="M85" s="250">
        <v>3</v>
      </c>
      <c r="N85" s="329">
        <f>M85/N$69</f>
        <v>0.23076923076923078</v>
      </c>
      <c r="O85" s="323">
        <v>3</v>
      </c>
      <c r="P85" s="329">
        <f>O85/P$69</f>
        <v>0.23076923076923078</v>
      </c>
      <c r="Q85" s="323">
        <v>5</v>
      </c>
      <c r="R85" s="329">
        <f>Q85/R$69</f>
        <v>0.33333333333333331</v>
      </c>
      <c r="S85" s="323">
        <v>5</v>
      </c>
      <c r="T85" s="329">
        <f>S85/T$69</f>
        <v>0.35714285714285715</v>
      </c>
      <c r="U85" s="323">
        <v>4</v>
      </c>
      <c r="V85" s="329">
        <f>U85/V$69</f>
        <v>0.2857142857142857</v>
      </c>
      <c r="W85" s="323">
        <v>3</v>
      </c>
      <c r="X85" s="329">
        <f>W85/X$69</f>
        <v>0.25</v>
      </c>
      <c r="Y85" s="323">
        <v>3</v>
      </c>
      <c r="Z85" s="1066">
        <f>Y85/Z$69</f>
        <v>0.23076923076923078</v>
      </c>
      <c r="AB85" s="662">
        <f t="shared" si="27"/>
        <v>4</v>
      </c>
      <c r="AC85" s="665">
        <f t="shared" si="28"/>
        <v>0.29139194139194136</v>
      </c>
    </row>
    <row r="86" spans="1:31" s="1" customFormat="1" ht="12" x14ac:dyDescent="0.2">
      <c r="B86" s="114" t="s">
        <v>79</v>
      </c>
      <c r="C86" s="1068"/>
      <c r="D86" s="329"/>
      <c r="E86" s="181"/>
      <c r="F86" s="222"/>
      <c r="G86" s="251"/>
      <c r="H86" s="331"/>
      <c r="I86" s="251"/>
      <c r="J86" s="176"/>
      <c r="K86" s="251"/>
      <c r="L86" s="176"/>
      <c r="M86" s="251"/>
      <c r="N86" s="329"/>
      <c r="O86" s="324"/>
      <c r="P86" s="329"/>
      <c r="Q86" s="324"/>
      <c r="R86" s="329"/>
      <c r="S86" s="324"/>
      <c r="T86" s="329"/>
      <c r="U86" s="324"/>
      <c r="V86" s="329"/>
      <c r="W86" s="324"/>
      <c r="X86" s="329"/>
      <c r="Y86" s="324"/>
      <c r="Z86" s="1066"/>
      <c r="AB86" s="662"/>
      <c r="AC86" s="665"/>
    </row>
    <row r="87" spans="1:31" s="1" customFormat="1" ht="12" x14ac:dyDescent="0.2">
      <c r="B87" s="116" t="s">
        <v>69</v>
      </c>
      <c r="C87" s="1067">
        <v>9</v>
      </c>
      <c r="D87" s="329">
        <f>C87/$D$69</f>
        <v>0.9</v>
      </c>
      <c r="E87" s="178">
        <v>8</v>
      </c>
      <c r="F87" s="222">
        <f>E87/F$69</f>
        <v>0.8</v>
      </c>
      <c r="G87" s="250">
        <v>7</v>
      </c>
      <c r="H87" s="331">
        <f>G87/H$69</f>
        <v>0.63636363636363635</v>
      </c>
      <c r="I87" s="250">
        <v>9</v>
      </c>
      <c r="J87" s="176">
        <f>I87/J$69</f>
        <v>0.6428571428571429</v>
      </c>
      <c r="K87" s="250">
        <v>10</v>
      </c>
      <c r="L87" s="176">
        <f>K87/L$69</f>
        <v>0.83333333333333337</v>
      </c>
      <c r="M87" s="250">
        <v>11</v>
      </c>
      <c r="N87" s="329">
        <f>M87/N$69</f>
        <v>0.84615384615384615</v>
      </c>
      <c r="O87" s="323">
        <v>11</v>
      </c>
      <c r="P87" s="329">
        <f>O87/P$69</f>
        <v>0.84615384615384615</v>
      </c>
      <c r="Q87" s="323">
        <v>11</v>
      </c>
      <c r="R87" s="329">
        <f>Q87/R$69</f>
        <v>0.73333333333333328</v>
      </c>
      <c r="S87" s="323">
        <v>11</v>
      </c>
      <c r="T87" s="329">
        <f>S87/T$69</f>
        <v>0.7857142857142857</v>
      </c>
      <c r="U87" s="323">
        <v>11</v>
      </c>
      <c r="V87" s="329">
        <f>U87/V$69</f>
        <v>0.7857142857142857</v>
      </c>
      <c r="W87" s="323">
        <v>10</v>
      </c>
      <c r="X87" s="329">
        <f>W87/X$69</f>
        <v>0.83333333333333337</v>
      </c>
      <c r="Y87" s="323">
        <v>11</v>
      </c>
      <c r="Z87" s="1066">
        <f>Y87/Z$69</f>
        <v>0.84615384615384615</v>
      </c>
      <c r="AB87" s="662">
        <f t="shared" ref="AB87:AB90" si="29">AVERAGE(W87,U87,S87,Q87,Y87)</f>
        <v>10.8</v>
      </c>
      <c r="AC87" s="665">
        <f t="shared" ref="AC87:AC90" si="30">AVERAGE(X87,V87,T87,R87,Z87)</f>
        <v>0.79684981684981682</v>
      </c>
    </row>
    <row r="88" spans="1:31" s="1" customFormat="1" ht="12" x14ac:dyDescent="0.2">
      <c r="B88" s="116" t="s">
        <v>70</v>
      </c>
      <c r="C88" s="1067">
        <v>1</v>
      </c>
      <c r="D88" s="329">
        <f>C88/$D$69</f>
        <v>0.1</v>
      </c>
      <c r="E88" s="178">
        <v>2</v>
      </c>
      <c r="F88" s="222">
        <f>E88/F$69</f>
        <v>0.2</v>
      </c>
      <c r="G88" s="250">
        <v>3</v>
      </c>
      <c r="H88" s="331">
        <f>G88/H$69</f>
        <v>0.27272727272727271</v>
      </c>
      <c r="I88" s="250">
        <v>4</v>
      </c>
      <c r="J88" s="176">
        <f>I88/J$69</f>
        <v>0.2857142857142857</v>
      </c>
      <c r="K88" s="250">
        <v>2</v>
      </c>
      <c r="L88" s="176">
        <f>K88/L$69</f>
        <v>0.16666666666666666</v>
      </c>
      <c r="M88" s="250">
        <v>2</v>
      </c>
      <c r="N88" s="329">
        <f>M88/N$69</f>
        <v>0.15384615384615385</v>
      </c>
      <c r="O88" s="323">
        <v>2</v>
      </c>
      <c r="P88" s="329">
        <f>O88/P$69</f>
        <v>0.15384615384615385</v>
      </c>
      <c r="Q88" s="323">
        <v>3</v>
      </c>
      <c r="R88" s="329">
        <f>Q88/R$69</f>
        <v>0.2</v>
      </c>
      <c r="S88" s="323">
        <v>3</v>
      </c>
      <c r="T88" s="329">
        <f>S88/T$69</f>
        <v>0.21428571428571427</v>
      </c>
      <c r="U88" s="323">
        <v>3</v>
      </c>
      <c r="V88" s="329">
        <f>U88/V$69</f>
        <v>0.21428571428571427</v>
      </c>
      <c r="W88" s="323">
        <v>2</v>
      </c>
      <c r="X88" s="329">
        <f>W88/X$69</f>
        <v>0.16666666666666666</v>
      </c>
      <c r="Y88" s="323">
        <v>2</v>
      </c>
      <c r="Z88" s="1066">
        <f>Y88/Z$69</f>
        <v>0.15384615384615385</v>
      </c>
      <c r="AB88" s="662">
        <f t="shared" si="29"/>
        <v>2.6</v>
      </c>
      <c r="AC88" s="665">
        <f t="shared" si="30"/>
        <v>0.18981684981684982</v>
      </c>
    </row>
    <row r="89" spans="1:31" s="1" customFormat="1" ht="12" x14ac:dyDescent="0.2">
      <c r="B89" s="116" t="s">
        <v>71</v>
      </c>
      <c r="C89" s="1067">
        <v>0</v>
      </c>
      <c r="D89" s="329">
        <f>C89/$D$69</f>
        <v>0</v>
      </c>
      <c r="E89" s="178">
        <v>0</v>
      </c>
      <c r="F89" s="222">
        <f>E89/F$69</f>
        <v>0</v>
      </c>
      <c r="G89" s="250">
        <v>1</v>
      </c>
      <c r="H89" s="331">
        <f>G89/H$69</f>
        <v>9.0909090909090912E-2</v>
      </c>
      <c r="I89" s="250">
        <v>1</v>
      </c>
      <c r="J89" s="176">
        <f>I89/J$69</f>
        <v>7.1428571428571425E-2</v>
      </c>
      <c r="K89" s="250">
        <v>0</v>
      </c>
      <c r="L89" s="176">
        <f>K89/L$69</f>
        <v>0</v>
      </c>
      <c r="M89" s="250">
        <v>0</v>
      </c>
      <c r="N89" s="329">
        <f>M89/N$69</f>
        <v>0</v>
      </c>
      <c r="O89" s="323">
        <v>0</v>
      </c>
      <c r="P89" s="329">
        <f>O89/P$69</f>
        <v>0</v>
      </c>
      <c r="Q89" s="323">
        <v>1</v>
      </c>
      <c r="R89" s="329">
        <f>Q89/R$69</f>
        <v>6.6666666666666666E-2</v>
      </c>
      <c r="S89" s="323">
        <v>0</v>
      </c>
      <c r="T89" s="329">
        <f>S89/T$69</f>
        <v>0</v>
      </c>
      <c r="U89" s="323">
        <v>0</v>
      </c>
      <c r="V89" s="329">
        <f>U89/V$69</f>
        <v>0</v>
      </c>
      <c r="W89" s="323">
        <v>0</v>
      </c>
      <c r="X89" s="329">
        <f>W89/X$69</f>
        <v>0</v>
      </c>
      <c r="Y89" s="323">
        <v>0</v>
      </c>
      <c r="Z89" s="1066">
        <f>Y89/Z$69</f>
        <v>0</v>
      </c>
      <c r="AB89" s="662">
        <f t="shared" si="29"/>
        <v>0.2</v>
      </c>
      <c r="AC89" s="665">
        <f t="shared" si="30"/>
        <v>1.3333333333333332E-2</v>
      </c>
    </row>
    <row r="90" spans="1:31" s="1" customFormat="1" thickBot="1" x14ac:dyDescent="0.25">
      <c r="B90" s="118" t="s">
        <v>72</v>
      </c>
      <c r="C90" s="1065">
        <v>0</v>
      </c>
      <c r="D90" s="342">
        <f>C90/$D$69</f>
        <v>0</v>
      </c>
      <c r="E90" s="182">
        <v>0</v>
      </c>
      <c r="F90" s="223">
        <f>E90/F$69</f>
        <v>0</v>
      </c>
      <c r="G90" s="252">
        <v>0</v>
      </c>
      <c r="H90" s="332">
        <f>G90/H$69</f>
        <v>0</v>
      </c>
      <c r="I90" s="252">
        <v>0</v>
      </c>
      <c r="J90" s="177">
        <f>I90/J$69</f>
        <v>0</v>
      </c>
      <c r="K90" s="252">
        <v>0</v>
      </c>
      <c r="L90" s="177">
        <f>K90/L$69</f>
        <v>0</v>
      </c>
      <c r="M90" s="252">
        <v>0</v>
      </c>
      <c r="N90" s="342">
        <f>M90/N$69</f>
        <v>0</v>
      </c>
      <c r="O90" s="252">
        <v>0</v>
      </c>
      <c r="P90" s="342">
        <f>O90/P$69</f>
        <v>0</v>
      </c>
      <c r="Q90" s="325">
        <v>0</v>
      </c>
      <c r="R90" s="342">
        <f>Q90/R$69</f>
        <v>0</v>
      </c>
      <c r="S90" s="325">
        <v>0</v>
      </c>
      <c r="T90" s="342">
        <f>S90/T$69</f>
        <v>0</v>
      </c>
      <c r="U90" s="325">
        <v>0</v>
      </c>
      <c r="V90" s="342">
        <f>U90/V$69</f>
        <v>0</v>
      </c>
      <c r="W90" s="325">
        <v>0</v>
      </c>
      <c r="X90" s="342">
        <f>W90/X$69</f>
        <v>0</v>
      </c>
      <c r="Y90" s="325">
        <v>0</v>
      </c>
      <c r="Z90" s="1064">
        <f>Y90/Z$69</f>
        <v>0</v>
      </c>
      <c r="AB90" s="662">
        <f t="shared" si="29"/>
        <v>0</v>
      </c>
      <c r="AC90" s="665">
        <f t="shared" si="30"/>
        <v>0</v>
      </c>
    </row>
    <row r="91" spans="1:31" ht="14.25" thickTop="1" thickBot="1" x14ac:dyDescent="0.25">
      <c r="A91" s="868"/>
      <c r="B91" s="524" t="s">
        <v>104</v>
      </c>
      <c r="C91" s="1282" t="s">
        <v>29</v>
      </c>
      <c r="D91" s="1283"/>
      <c r="E91" s="1282" t="s">
        <v>30</v>
      </c>
      <c r="F91" s="1283"/>
      <c r="G91" s="1280" t="s">
        <v>120</v>
      </c>
      <c r="H91" s="1281"/>
      <c r="I91" s="1280" t="s">
        <v>121</v>
      </c>
      <c r="J91" s="1281"/>
      <c r="K91" s="1280" t="s">
        <v>122</v>
      </c>
      <c r="L91" s="1281"/>
      <c r="M91" s="1269" t="s">
        <v>123</v>
      </c>
      <c r="N91" s="1256"/>
      <c r="O91" s="1269" t="s">
        <v>144</v>
      </c>
      <c r="P91" s="1256"/>
      <c r="Q91" s="1252" t="s">
        <v>150</v>
      </c>
      <c r="R91" s="1256"/>
      <c r="S91" s="1252" t="s">
        <v>164</v>
      </c>
      <c r="T91" s="1256"/>
      <c r="U91" s="1252" t="s">
        <v>182</v>
      </c>
      <c r="V91" s="1256"/>
      <c r="W91" s="1252" t="s">
        <v>195</v>
      </c>
      <c r="X91" s="1256"/>
      <c r="Y91" s="1252" t="s">
        <v>204</v>
      </c>
      <c r="Z91" s="1348"/>
      <c r="AB91" s="1259" t="s">
        <v>133</v>
      </c>
      <c r="AC91" s="1268"/>
    </row>
    <row r="92" spans="1:31" x14ac:dyDescent="0.2">
      <c r="A92" s="868"/>
      <c r="B92" s="525"/>
      <c r="C92" s="67"/>
      <c r="D92" s="526"/>
      <c r="E92" s="1061" t="s">
        <v>74</v>
      </c>
      <c r="F92" s="1063" t="s">
        <v>18</v>
      </c>
      <c r="G92" s="67" t="s">
        <v>74</v>
      </c>
      <c r="H92" s="1062" t="s">
        <v>18</v>
      </c>
      <c r="I92" s="1061" t="s">
        <v>74</v>
      </c>
      <c r="J92" s="1062" t="s">
        <v>18</v>
      </c>
      <c r="K92" s="1061" t="s">
        <v>74</v>
      </c>
      <c r="L92" s="1062" t="s">
        <v>18</v>
      </c>
      <c r="M92" s="1061" t="s">
        <v>74</v>
      </c>
      <c r="N92" s="1062" t="s">
        <v>18</v>
      </c>
      <c r="O92" s="1061" t="s">
        <v>74</v>
      </c>
      <c r="P92" s="526" t="s">
        <v>18</v>
      </c>
      <c r="Q92" s="772" t="s">
        <v>74</v>
      </c>
      <c r="R92" s="526" t="s">
        <v>18</v>
      </c>
      <c r="S92" s="772" t="s">
        <v>74</v>
      </c>
      <c r="T92" s="526" t="s">
        <v>18</v>
      </c>
      <c r="U92" s="907" t="s">
        <v>74</v>
      </c>
      <c r="V92" s="526" t="s">
        <v>18</v>
      </c>
      <c r="W92" s="907" t="s">
        <v>74</v>
      </c>
      <c r="X92" s="526" t="s">
        <v>18</v>
      </c>
      <c r="Y92" s="907" t="s">
        <v>74</v>
      </c>
      <c r="Z92" s="527" t="s">
        <v>18</v>
      </c>
      <c r="AB92" s="623" t="s">
        <v>74</v>
      </c>
      <c r="AC92" s="527" t="s">
        <v>18</v>
      </c>
    </row>
    <row r="93" spans="1:31" x14ac:dyDescent="0.2">
      <c r="A93" s="868"/>
      <c r="B93" s="417" t="s">
        <v>105</v>
      </c>
      <c r="C93" s="598">
        <v>0</v>
      </c>
      <c r="D93" s="995">
        <v>0</v>
      </c>
      <c r="E93" s="598">
        <v>0</v>
      </c>
      <c r="F93" s="995">
        <v>0</v>
      </c>
      <c r="G93" s="598">
        <v>0</v>
      </c>
      <c r="H93" s="995">
        <v>0</v>
      </c>
      <c r="I93" s="1060">
        <v>0</v>
      </c>
      <c r="J93" s="995">
        <v>0</v>
      </c>
      <c r="K93" s="598">
        <v>0</v>
      </c>
      <c r="L93" s="995">
        <v>0</v>
      </c>
      <c r="M93" s="598">
        <v>0</v>
      </c>
      <c r="N93" s="995">
        <v>0</v>
      </c>
      <c r="O93" s="598">
        <v>1</v>
      </c>
      <c r="P93" s="995">
        <v>0.4</v>
      </c>
      <c r="Q93" s="598">
        <v>1</v>
      </c>
      <c r="R93" s="995">
        <v>0.4</v>
      </c>
      <c r="S93" s="598">
        <v>3</v>
      </c>
      <c r="T93" s="995">
        <v>1</v>
      </c>
      <c r="U93" s="598">
        <v>3</v>
      </c>
      <c r="V93" s="995">
        <v>1</v>
      </c>
      <c r="W93" s="598">
        <v>1</v>
      </c>
      <c r="X93" s="995">
        <v>0.25</v>
      </c>
      <c r="Y93" s="598">
        <v>1</v>
      </c>
      <c r="Z93" s="1059">
        <v>0.3</v>
      </c>
      <c r="AB93" s="762">
        <f t="shared" ref="AB93:AB95" si="31">AVERAGE(W93,U93,S93,Q93,Y93)</f>
        <v>1.8</v>
      </c>
      <c r="AC93" s="1056">
        <f t="shared" ref="AC93:AC95" si="32">AVERAGE(X93,V93,T93,R93,Z93)</f>
        <v>0.59</v>
      </c>
    </row>
    <row r="94" spans="1:31" x14ac:dyDescent="0.2">
      <c r="A94" s="868"/>
      <c r="B94" s="417" t="s">
        <v>106</v>
      </c>
      <c r="C94" s="598">
        <v>12</v>
      </c>
      <c r="D94" s="995">
        <v>6</v>
      </c>
      <c r="E94" s="598">
        <v>13</v>
      </c>
      <c r="F94" s="995">
        <v>6.5</v>
      </c>
      <c r="G94" s="598">
        <v>11</v>
      </c>
      <c r="H94" s="995">
        <v>5.4</v>
      </c>
      <c r="I94" s="1060">
        <v>12</v>
      </c>
      <c r="J94" s="995">
        <v>6</v>
      </c>
      <c r="K94" s="598">
        <v>12</v>
      </c>
      <c r="L94" s="995">
        <v>6</v>
      </c>
      <c r="M94" s="598">
        <v>13</v>
      </c>
      <c r="N94" s="995">
        <v>6.5</v>
      </c>
      <c r="O94" s="598">
        <v>9</v>
      </c>
      <c r="P94" s="995">
        <v>4.5</v>
      </c>
      <c r="Q94" s="598">
        <v>9</v>
      </c>
      <c r="R94" s="995">
        <v>4.5</v>
      </c>
      <c r="S94" s="598">
        <v>10</v>
      </c>
      <c r="T94" s="995">
        <v>4.5</v>
      </c>
      <c r="U94" s="598">
        <v>9</v>
      </c>
      <c r="V94" s="995">
        <v>4.25</v>
      </c>
      <c r="W94" s="598">
        <v>14</v>
      </c>
      <c r="X94" s="995">
        <v>6.75</v>
      </c>
      <c r="Y94" s="598">
        <v>15</v>
      </c>
      <c r="Z94" s="1059">
        <v>7.3</v>
      </c>
      <c r="AB94" s="762">
        <f t="shared" si="31"/>
        <v>11.4</v>
      </c>
      <c r="AC94" s="1056">
        <f t="shared" si="32"/>
        <v>5.46</v>
      </c>
    </row>
    <row r="95" spans="1:31" ht="13.5" thickBot="1" x14ac:dyDescent="0.25">
      <c r="A95" s="868"/>
      <c r="B95" s="120" t="s">
        <v>132</v>
      </c>
      <c r="C95" s="1058">
        <v>0</v>
      </c>
      <c r="D95" s="996">
        <v>0</v>
      </c>
      <c r="E95" s="599">
        <v>0</v>
      </c>
      <c r="F95" s="996">
        <v>0</v>
      </c>
      <c r="G95" s="599">
        <v>0</v>
      </c>
      <c r="H95" s="996">
        <v>0</v>
      </c>
      <c r="I95" s="1058">
        <v>0</v>
      </c>
      <c r="J95" s="996">
        <v>0</v>
      </c>
      <c r="K95" s="599">
        <v>0</v>
      </c>
      <c r="L95" s="996">
        <v>0</v>
      </c>
      <c r="M95" s="599">
        <v>0</v>
      </c>
      <c r="N95" s="996">
        <v>0</v>
      </c>
      <c r="O95" s="599">
        <v>0</v>
      </c>
      <c r="P95" s="996">
        <v>0</v>
      </c>
      <c r="Q95" s="599">
        <v>0</v>
      </c>
      <c r="R95" s="996">
        <v>0</v>
      </c>
      <c r="S95" s="599">
        <v>0</v>
      </c>
      <c r="T95" s="996">
        <v>0</v>
      </c>
      <c r="U95" s="599">
        <v>0</v>
      </c>
      <c r="V95" s="996">
        <v>0</v>
      </c>
      <c r="W95" s="599">
        <v>0</v>
      </c>
      <c r="X95" s="996">
        <v>0</v>
      </c>
      <c r="Y95" s="599">
        <v>0</v>
      </c>
      <c r="Z95" s="1057">
        <v>0</v>
      </c>
      <c r="AB95" s="762">
        <f t="shared" si="31"/>
        <v>0</v>
      </c>
      <c r="AC95" s="1056">
        <f t="shared" si="32"/>
        <v>0</v>
      </c>
    </row>
    <row r="96" spans="1:31" ht="17.25" thickTop="1" thickBot="1" x14ac:dyDescent="0.3">
      <c r="A96" s="534"/>
      <c r="B96" s="535"/>
      <c r="C96" s="1282" t="s">
        <v>29</v>
      </c>
      <c r="D96" s="1283"/>
      <c r="E96" s="1282" t="s">
        <v>30</v>
      </c>
      <c r="F96" s="1283"/>
      <c r="G96" s="1280" t="s">
        <v>120</v>
      </c>
      <c r="H96" s="1281"/>
      <c r="I96" s="1280" t="s">
        <v>121</v>
      </c>
      <c r="J96" s="1281"/>
      <c r="K96" s="1280" t="s">
        <v>122</v>
      </c>
      <c r="L96" s="1281"/>
      <c r="M96" s="1269" t="s">
        <v>123</v>
      </c>
      <c r="N96" s="1256"/>
      <c r="O96" s="1269" t="s">
        <v>154</v>
      </c>
      <c r="P96" s="1256"/>
      <c r="Q96" s="1252" t="s">
        <v>150</v>
      </c>
      <c r="R96" s="1256"/>
      <c r="S96" s="1252" t="s">
        <v>164</v>
      </c>
      <c r="T96" s="1256"/>
      <c r="U96" s="1252" t="s">
        <v>182</v>
      </c>
      <c r="V96" s="1256"/>
      <c r="W96" s="1252" t="s">
        <v>195</v>
      </c>
      <c r="X96" s="1256"/>
      <c r="Y96" s="1252" t="s">
        <v>204</v>
      </c>
      <c r="Z96" s="1348"/>
      <c r="AA96" s="664"/>
      <c r="AB96" s="1261"/>
      <c r="AC96" s="1262"/>
      <c r="AD96" s="1"/>
      <c r="AE96" s="1"/>
    </row>
    <row r="97" spans="1:31" x14ac:dyDescent="0.2">
      <c r="A97" s="1"/>
      <c r="B97" s="418" t="s">
        <v>131</v>
      </c>
      <c r="C97" s="1"/>
      <c r="D97" s="537"/>
      <c r="E97" s="538"/>
      <c r="F97" s="539"/>
      <c r="G97" s="540"/>
      <c r="H97" s="541"/>
      <c r="I97" s="1055"/>
      <c r="J97" s="414"/>
      <c r="K97" s="543"/>
      <c r="L97" s="544"/>
      <c r="M97" s="552"/>
      <c r="N97" s="559"/>
      <c r="O97" s="95"/>
      <c r="P97" s="847"/>
      <c r="Q97" s="543"/>
      <c r="R97" s="559"/>
      <c r="S97" s="543"/>
      <c r="T97" s="559"/>
      <c r="U97" s="95"/>
      <c r="V97" s="847"/>
      <c r="W97" s="543"/>
      <c r="X97" s="559"/>
      <c r="Y97" s="543"/>
      <c r="Z97" s="1050"/>
      <c r="AA97" s="4"/>
      <c r="AB97" s="4"/>
      <c r="AC97" s="4"/>
      <c r="AD97" s="1"/>
      <c r="AE97" s="1"/>
    </row>
    <row r="98" spans="1:31" x14ac:dyDescent="0.2">
      <c r="A98" s="272"/>
      <c r="B98" s="545" t="s">
        <v>110</v>
      </c>
      <c r="C98" s="1272">
        <v>3.1</v>
      </c>
      <c r="D98" s="1273"/>
      <c r="E98" s="562"/>
      <c r="F98" s="563"/>
      <c r="G98" s="564"/>
      <c r="H98" s="565"/>
      <c r="I98" s="1272">
        <v>2.35</v>
      </c>
      <c r="J98" s="1273"/>
      <c r="K98" s="552"/>
      <c r="L98" s="553"/>
      <c r="M98" s="552"/>
      <c r="N98" s="559"/>
      <c r="O98" s="202"/>
      <c r="P98" s="885">
        <v>9.1</v>
      </c>
      <c r="Q98" s="552"/>
      <c r="R98" s="559"/>
      <c r="S98" s="552"/>
      <c r="T98" s="559"/>
      <c r="U98" s="202"/>
      <c r="V98" s="885">
        <v>9.08</v>
      </c>
      <c r="W98" s="552"/>
      <c r="X98" s="559"/>
      <c r="Y98" s="552"/>
      <c r="Z98" s="1050"/>
      <c r="AA98" s="4"/>
      <c r="AB98" s="4"/>
      <c r="AC98" s="880"/>
      <c r="AD98" s="1"/>
      <c r="AE98" s="1"/>
    </row>
    <row r="99" spans="1:31" x14ac:dyDescent="0.2">
      <c r="A99" s="272"/>
      <c r="B99" s="554" t="s">
        <v>111</v>
      </c>
      <c r="C99" s="1272"/>
      <c r="D99" s="1273"/>
      <c r="E99" s="562"/>
      <c r="F99" s="563"/>
      <c r="G99" s="564"/>
      <c r="H99" s="565"/>
      <c r="I99" s="1272"/>
      <c r="J99" s="1273"/>
      <c r="K99" s="552"/>
      <c r="L99" s="553"/>
      <c r="M99" s="552"/>
      <c r="N99" s="559"/>
      <c r="O99" s="202"/>
      <c r="P99" s="885"/>
      <c r="Q99" s="552"/>
      <c r="R99" s="559"/>
      <c r="S99" s="552"/>
      <c r="T99" s="559"/>
      <c r="U99" s="202"/>
      <c r="V99" s="885"/>
      <c r="W99" s="552"/>
      <c r="X99" s="559"/>
      <c r="Y99" s="552"/>
      <c r="Z99" s="1050"/>
      <c r="AA99" s="4"/>
      <c r="AB99" s="4"/>
      <c r="AC99" s="880"/>
      <c r="AD99" s="1"/>
      <c r="AE99" s="1"/>
    </row>
    <row r="100" spans="1:31" x14ac:dyDescent="0.2">
      <c r="A100" s="272"/>
      <c r="B100" s="554" t="s">
        <v>112</v>
      </c>
      <c r="C100" s="1272">
        <v>5</v>
      </c>
      <c r="D100" s="1273"/>
      <c r="E100" s="562"/>
      <c r="F100" s="563"/>
      <c r="G100" s="564"/>
      <c r="H100" s="565"/>
      <c r="I100" s="1272">
        <v>5.5</v>
      </c>
      <c r="J100" s="1273"/>
      <c r="K100" s="552"/>
      <c r="L100" s="553"/>
      <c r="M100" s="552"/>
      <c r="N100" s="559"/>
      <c r="O100" s="202"/>
      <c r="P100" s="885">
        <v>4</v>
      </c>
      <c r="Q100" s="552"/>
      <c r="R100" s="559"/>
      <c r="S100" s="552"/>
      <c r="T100" s="559"/>
      <c r="U100" s="202"/>
      <c r="V100" s="885">
        <v>4.25</v>
      </c>
      <c r="W100" s="552"/>
      <c r="X100" s="559"/>
      <c r="Y100" s="552"/>
      <c r="Z100" s="1050"/>
      <c r="AA100" s="4"/>
      <c r="AB100" s="4"/>
      <c r="AC100" s="880"/>
      <c r="AD100" s="1"/>
      <c r="AE100" s="1"/>
    </row>
    <row r="101" spans="1:31" x14ac:dyDescent="0.2">
      <c r="A101" s="272"/>
      <c r="B101" s="545" t="s">
        <v>113</v>
      </c>
      <c r="C101" s="1272">
        <v>1</v>
      </c>
      <c r="D101" s="1273"/>
      <c r="E101" s="562"/>
      <c r="F101" s="563"/>
      <c r="G101" s="564"/>
      <c r="H101" s="565"/>
      <c r="I101" s="1272">
        <v>0.5</v>
      </c>
      <c r="J101" s="1273"/>
      <c r="K101" s="552"/>
      <c r="L101" s="553"/>
      <c r="M101" s="552"/>
      <c r="N101" s="559"/>
      <c r="O101" s="202"/>
      <c r="P101" s="885">
        <v>0.5</v>
      </c>
      <c r="Q101" s="552"/>
      <c r="R101" s="559"/>
      <c r="S101" s="552"/>
      <c r="T101" s="559"/>
      <c r="U101" s="202"/>
      <c r="V101" s="885">
        <v>0</v>
      </c>
      <c r="W101" s="552"/>
      <c r="X101" s="559"/>
      <c r="Y101" s="552"/>
      <c r="Z101" s="1050"/>
      <c r="AA101" s="4"/>
      <c r="AB101" s="4"/>
      <c r="AC101" s="880"/>
      <c r="AD101" s="1"/>
      <c r="AE101" s="1"/>
    </row>
    <row r="102" spans="1:31" x14ac:dyDescent="0.2">
      <c r="A102" s="272"/>
      <c r="B102" s="555" t="s">
        <v>114</v>
      </c>
      <c r="C102" s="1272">
        <v>2</v>
      </c>
      <c r="D102" s="1273"/>
      <c r="E102" s="562"/>
      <c r="F102" s="563"/>
      <c r="G102" s="564"/>
      <c r="H102" s="565"/>
      <c r="I102" s="1272">
        <v>3</v>
      </c>
      <c r="J102" s="1273"/>
      <c r="K102" s="552"/>
      <c r="L102" s="553"/>
      <c r="M102" s="552"/>
      <c r="N102" s="559"/>
      <c r="O102" s="202"/>
      <c r="P102" s="885">
        <v>3.5</v>
      </c>
      <c r="Q102" s="552"/>
      <c r="R102" s="559"/>
      <c r="S102" s="552"/>
      <c r="T102" s="559"/>
      <c r="U102" s="202"/>
      <c r="V102" s="885">
        <f>2+1.5</f>
        <v>3.5</v>
      </c>
      <c r="W102" s="552"/>
      <c r="X102" s="559"/>
      <c r="Y102" s="552"/>
      <c r="Z102" s="1050"/>
      <c r="AA102" s="4"/>
      <c r="AB102" s="4"/>
      <c r="AC102" s="880"/>
      <c r="AD102" s="1"/>
      <c r="AE102" s="1"/>
    </row>
    <row r="103" spans="1:31" x14ac:dyDescent="0.2">
      <c r="A103" s="272"/>
      <c r="B103" s="555" t="s">
        <v>115</v>
      </c>
      <c r="C103" s="1272">
        <f>SUM(C98:D102)</f>
        <v>11.1</v>
      </c>
      <c r="D103" s="1273"/>
      <c r="E103" s="562"/>
      <c r="F103" s="563"/>
      <c r="G103" s="564"/>
      <c r="H103" s="565"/>
      <c r="I103" s="1272">
        <f>SUM(I98:J102)</f>
        <v>11.35</v>
      </c>
      <c r="J103" s="1273"/>
      <c r="K103" s="552"/>
      <c r="L103" s="553"/>
      <c r="M103" s="552"/>
      <c r="N103" s="559"/>
      <c r="O103" s="202"/>
      <c r="P103" s="885">
        <f>SUM(P98:P102)</f>
        <v>17.100000000000001</v>
      </c>
      <c r="Q103" s="552"/>
      <c r="R103" s="559"/>
      <c r="S103" s="552"/>
      <c r="T103" s="559"/>
      <c r="U103" s="202"/>
      <c r="V103" s="885">
        <f>SUM(V98:V102)</f>
        <v>16.829999999999998</v>
      </c>
      <c r="W103" s="552"/>
      <c r="X103" s="559"/>
      <c r="Y103" s="552"/>
      <c r="Z103" s="1050"/>
      <c r="AA103" s="4"/>
      <c r="AB103" s="4"/>
      <c r="AC103" s="880"/>
      <c r="AD103" s="1"/>
      <c r="AE103" s="1"/>
    </row>
    <row r="104" spans="1:31" ht="13.5" thickBot="1" x14ac:dyDescent="0.25">
      <c r="A104" s="272"/>
      <c r="B104" s="556" t="s">
        <v>125</v>
      </c>
      <c r="C104" s="1353"/>
      <c r="D104" s="1354"/>
      <c r="E104" s="557"/>
      <c r="F104" s="558"/>
      <c r="G104" s="543"/>
      <c r="H104" s="559"/>
      <c r="I104" s="1353"/>
      <c r="J104" s="1354"/>
      <c r="K104" s="552"/>
      <c r="L104" s="553"/>
      <c r="M104" s="552"/>
      <c r="N104" s="559"/>
      <c r="O104" s="202"/>
      <c r="P104" s="847"/>
      <c r="Q104" s="552"/>
      <c r="R104" s="559"/>
      <c r="S104" s="552"/>
      <c r="T104" s="559"/>
      <c r="U104" s="202"/>
      <c r="V104" s="847"/>
      <c r="W104" s="552"/>
      <c r="X104" s="559"/>
      <c r="Y104" s="552"/>
      <c r="Z104" s="1050"/>
      <c r="AA104" s="4"/>
      <c r="AB104" s="4"/>
      <c r="AC104" s="880"/>
      <c r="AD104" s="1"/>
      <c r="AE104" s="1"/>
    </row>
    <row r="105" spans="1:31" x14ac:dyDescent="0.2">
      <c r="A105" s="272"/>
      <c r="B105" s="545" t="s">
        <v>116</v>
      </c>
      <c r="C105" s="1349">
        <v>1829</v>
      </c>
      <c r="D105" s="1350"/>
      <c r="E105" s="1054"/>
      <c r="F105" s="1053"/>
      <c r="G105" s="1052"/>
      <c r="H105" s="1051"/>
      <c r="I105" s="1349">
        <v>1554</v>
      </c>
      <c r="J105" s="1350"/>
      <c r="K105" s="552"/>
      <c r="L105" s="553"/>
      <c r="M105" s="552"/>
      <c r="N105" s="559"/>
      <c r="O105" s="202"/>
      <c r="P105" s="869">
        <v>1549</v>
      </c>
      <c r="Q105" s="552"/>
      <c r="R105" s="559"/>
      <c r="S105" s="552"/>
      <c r="T105" s="559"/>
      <c r="U105" s="202"/>
      <c r="V105" s="869">
        <v>2029</v>
      </c>
      <c r="W105" s="552"/>
      <c r="X105" s="559"/>
      <c r="Y105" s="552"/>
      <c r="Z105" s="1050"/>
      <c r="AA105" s="4"/>
      <c r="AB105" s="4"/>
      <c r="AC105" s="890"/>
      <c r="AD105" s="1"/>
      <c r="AE105" s="1"/>
    </row>
    <row r="106" spans="1:31" x14ac:dyDescent="0.2">
      <c r="A106" s="272"/>
      <c r="B106" s="555" t="s">
        <v>117</v>
      </c>
      <c r="C106" s="1349">
        <v>647</v>
      </c>
      <c r="D106" s="1350"/>
      <c r="E106" s="1054"/>
      <c r="F106" s="1053"/>
      <c r="G106" s="1052"/>
      <c r="H106" s="1051"/>
      <c r="I106" s="1349">
        <v>1400</v>
      </c>
      <c r="J106" s="1350"/>
      <c r="K106" s="552"/>
      <c r="L106" s="553"/>
      <c r="M106" s="552"/>
      <c r="N106" s="559"/>
      <c r="O106" s="202"/>
      <c r="P106" s="869">
        <v>0</v>
      </c>
      <c r="Q106" s="552"/>
      <c r="R106" s="559"/>
      <c r="S106" s="552"/>
      <c r="T106" s="559"/>
      <c r="U106" s="202"/>
      <c r="V106" s="869">
        <v>149</v>
      </c>
      <c r="W106" s="552"/>
      <c r="X106" s="559"/>
      <c r="Y106" s="552"/>
      <c r="Z106" s="1050"/>
      <c r="AA106" s="4"/>
      <c r="AB106" s="4"/>
      <c r="AC106" s="890"/>
      <c r="AD106" s="1"/>
      <c r="AE106" s="1"/>
    </row>
    <row r="107" spans="1:31" x14ac:dyDescent="0.2">
      <c r="A107" s="272"/>
      <c r="B107" s="555" t="s">
        <v>118</v>
      </c>
      <c r="C107" s="1349">
        <v>306</v>
      </c>
      <c r="D107" s="1350"/>
      <c r="E107" s="1054"/>
      <c r="F107" s="1053"/>
      <c r="G107" s="1052"/>
      <c r="H107" s="1051"/>
      <c r="I107" s="1349">
        <v>244</v>
      </c>
      <c r="J107" s="1350"/>
      <c r="K107" s="552"/>
      <c r="L107" s="553"/>
      <c r="M107" s="552"/>
      <c r="N107" s="559"/>
      <c r="O107" s="202"/>
      <c r="P107" s="869">
        <f>1435+540</f>
        <v>1975</v>
      </c>
      <c r="Q107" s="552"/>
      <c r="R107" s="559"/>
      <c r="S107" s="552"/>
      <c r="T107" s="559"/>
      <c r="U107" s="202"/>
      <c r="V107" s="869">
        <f>819+1204</f>
        <v>2023</v>
      </c>
      <c r="W107" s="552"/>
      <c r="X107" s="559"/>
      <c r="Y107" s="552"/>
      <c r="Z107" s="1050"/>
      <c r="AA107" s="4"/>
      <c r="AB107" s="4"/>
      <c r="AC107" s="890"/>
      <c r="AD107" s="1"/>
      <c r="AE107" s="1"/>
    </row>
    <row r="108" spans="1:31" x14ac:dyDescent="0.2">
      <c r="A108" s="272"/>
      <c r="B108" s="555" t="s">
        <v>130</v>
      </c>
      <c r="C108" s="1349">
        <f>SUM(C105:D107)</f>
        <v>2782</v>
      </c>
      <c r="D108" s="1350"/>
      <c r="E108" s="1054"/>
      <c r="F108" s="1053"/>
      <c r="G108" s="1052"/>
      <c r="H108" s="1051"/>
      <c r="I108" s="1349">
        <f>SUM(I105:J107)</f>
        <v>3198</v>
      </c>
      <c r="J108" s="1350"/>
      <c r="K108" s="552"/>
      <c r="L108" s="553"/>
      <c r="M108" s="552"/>
      <c r="N108" s="559"/>
      <c r="O108" s="202"/>
      <c r="P108" s="869">
        <f>SUM(P105:P107)</f>
        <v>3524</v>
      </c>
      <c r="Q108" s="552"/>
      <c r="R108" s="559"/>
      <c r="S108" s="552"/>
      <c r="T108" s="559"/>
      <c r="U108" s="202"/>
      <c r="V108" s="869">
        <f>SUM(V105:V107)</f>
        <v>4201</v>
      </c>
      <c r="W108" s="552"/>
      <c r="X108" s="559"/>
      <c r="Y108" s="552"/>
      <c r="Z108" s="1050"/>
      <c r="AA108" s="4"/>
      <c r="AB108" s="4"/>
      <c r="AC108" s="890"/>
      <c r="AD108" s="1"/>
      <c r="AE108" s="1"/>
    </row>
    <row r="109" spans="1:31" ht="13.5" thickBot="1" x14ac:dyDescent="0.25">
      <c r="A109" s="272"/>
      <c r="B109" s="556" t="s">
        <v>126</v>
      </c>
      <c r="C109" s="1353"/>
      <c r="D109" s="1354"/>
      <c r="E109" s="557"/>
      <c r="F109" s="558"/>
      <c r="G109" s="543"/>
      <c r="H109" s="559"/>
      <c r="I109" s="1353"/>
      <c r="J109" s="1354"/>
      <c r="K109" s="552"/>
      <c r="L109" s="553"/>
      <c r="M109" s="552"/>
      <c r="N109" s="559"/>
      <c r="O109" s="202"/>
      <c r="P109" s="847"/>
      <c r="Q109" s="552"/>
      <c r="R109" s="559"/>
      <c r="S109" s="552"/>
      <c r="T109" s="559"/>
      <c r="U109" s="202"/>
      <c r="V109" s="847"/>
      <c r="W109" s="552"/>
      <c r="X109" s="559"/>
      <c r="Y109" s="552"/>
      <c r="Z109" s="1050"/>
      <c r="AA109" s="4"/>
      <c r="AB109" s="4"/>
      <c r="AC109" s="880"/>
      <c r="AD109" s="4"/>
      <c r="AE109" s="4"/>
    </row>
    <row r="110" spans="1:31" x14ac:dyDescent="0.2">
      <c r="A110" s="272"/>
      <c r="B110" s="545" t="s">
        <v>127</v>
      </c>
      <c r="C110" s="1278">
        <f>C105/C98</f>
        <v>590</v>
      </c>
      <c r="D110" s="1279"/>
      <c r="E110" s="602"/>
      <c r="F110" s="603"/>
      <c r="G110" s="604"/>
      <c r="H110" s="605"/>
      <c r="I110" s="1278">
        <f>I105/I98</f>
        <v>661.27659574468078</v>
      </c>
      <c r="J110" s="1279"/>
      <c r="K110" s="886"/>
      <c r="L110" s="887"/>
      <c r="M110" s="886"/>
      <c r="N110" s="605"/>
      <c r="O110" s="1049"/>
      <c r="P110" s="870">
        <f>P105/P98</f>
        <v>170.21978021978023</v>
      </c>
      <c r="Q110" s="886"/>
      <c r="R110" s="605"/>
      <c r="S110" s="886"/>
      <c r="T110" s="605"/>
      <c r="U110" s="1049"/>
      <c r="V110" s="870">
        <f>V105/V98</f>
        <v>223.45814977973569</v>
      </c>
      <c r="W110" s="886"/>
      <c r="X110" s="605"/>
      <c r="Y110" s="886"/>
      <c r="Z110" s="1048"/>
      <c r="AA110" s="889"/>
      <c r="AB110" s="889"/>
      <c r="AC110" s="880"/>
      <c r="AD110" s="281"/>
      <c r="AE110" s="281"/>
    </row>
    <row r="111" spans="1:31" x14ac:dyDescent="0.2">
      <c r="A111" s="272"/>
      <c r="B111" s="555" t="s">
        <v>128</v>
      </c>
      <c r="C111" s="1278">
        <f>C106/C100</f>
        <v>129.4</v>
      </c>
      <c r="D111" s="1279"/>
      <c r="E111" s="602"/>
      <c r="F111" s="603"/>
      <c r="G111" s="604"/>
      <c r="H111" s="605"/>
      <c r="I111" s="1278">
        <f>I106/I100</f>
        <v>254.54545454545453</v>
      </c>
      <c r="J111" s="1279"/>
      <c r="K111" s="886"/>
      <c r="L111" s="887"/>
      <c r="M111" s="886"/>
      <c r="N111" s="605"/>
      <c r="O111" s="1049"/>
      <c r="P111" s="870">
        <f>P106/P100</f>
        <v>0</v>
      </c>
      <c r="Q111" s="886"/>
      <c r="R111" s="605"/>
      <c r="S111" s="886"/>
      <c r="T111" s="605"/>
      <c r="U111" s="1049"/>
      <c r="V111" s="870">
        <f>V106/(V100+V101)</f>
        <v>35.058823529411768</v>
      </c>
      <c r="W111" s="886"/>
      <c r="X111" s="605"/>
      <c r="Y111" s="886"/>
      <c r="Z111" s="1048"/>
      <c r="AA111" s="889"/>
      <c r="AB111" s="889"/>
      <c r="AC111" s="880"/>
      <c r="AD111" s="281"/>
      <c r="AE111" s="281"/>
    </row>
    <row r="112" spans="1:31" x14ac:dyDescent="0.2">
      <c r="A112" s="272"/>
      <c r="B112" s="555" t="s">
        <v>129</v>
      </c>
      <c r="C112" s="1278">
        <f>C107/C102</f>
        <v>153</v>
      </c>
      <c r="D112" s="1279"/>
      <c r="E112" s="602"/>
      <c r="F112" s="603"/>
      <c r="G112" s="604"/>
      <c r="H112" s="605"/>
      <c r="I112" s="1278">
        <f>I107/I102</f>
        <v>81.333333333333329</v>
      </c>
      <c r="J112" s="1279"/>
      <c r="K112" s="886"/>
      <c r="L112" s="887"/>
      <c r="M112" s="886"/>
      <c r="N112" s="605"/>
      <c r="O112" s="1049"/>
      <c r="P112" s="870">
        <f>P107/P102</f>
        <v>564.28571428571433</v>
      </c>
      <c r="Q112" s="886"/>
      <c r="R112" s="605"/>
      <c r="S112" s="886"/>
      <c r="T112" s="605"/>
      <c r="U112" s="1049"/>
      <c r="V112" s="870">
        <f>V107/V102</f>
        <v>578</v>
      </c>
      <c r="W112" s="886"/>
      <c r="X112" s="605"/>
      <c r="Y112" s="886"/>
      <c r="Z112" s="1048"/>
      <c r="AA112" s="889"/>
      <c r="AB112" s="889"/>
      <c r="AC112" s="880"/>
      <c r="AD112" s="281"/>
      <c r="AE112" s="281"/>
    </row>
    <row r="113" spans="1:31" ht="13.5" thickBot="1" x14ac:dyDescent="0.25">
      <c r="A113" s="272"/>
      <c r="B113" s="568" t="s">
        <v>119</v>
      </c>
      <c r="C113" s="1351">
        <f>C108/C103</f>
        <v>250.63063063063063</v>
      </c>
      <c r="D113" s="1352"/>
      <c r="E113" s="606"/>
      <c r="F113" s="607"/>
      <c r="G113" s="608"/>
      <c r="H113" s="609"/>
      <c r="I113" s="1351">
        <f>I108/I103</f>
        <v>281.76211453744492</v>
      </c>
      <c r="J113" s="1352"/>
      <c r="K113" s="608"/>
      <c r="L113" s="609"/>
      <c r="M113" s="608"/>
      <c r="N113" s="609"/>
      <c r="O113" s="1047"/>
      <c r="P113" s="871">
        <f>P108/P103</f>
        <v>206.08187134502921</v>
      </c>
      <c r="Q113" s="608"/>
      <c r="R113" s="609"/>
      <c r="S113" s="608"/>
      <c r="T113" s="609"/>
      <c r="U113" s="1047"/>
      <c r="V113" s="871">
        <f>V108/V103</f>
        <v>249.61378490790258</v>
      </c>
      <c r="W113" s="608"/>
      <c r="X113" s="609"/>
      <c r="Y113" s="608"/>
      <c r="Z113" s="1046"/>
      <c r="AA113" s="889"/>
      <c r="AB113" s="889"/>
      <c r="AC113" s="880"/>
      <c r="AD113" s="281"/>
      <c r="AE113" s="281"/>
    </row>
    <row r="114" spans="1:31" ht="13.5" thickTop="1" x14ac:dyDescent="0.2">
      <c r="A114" s="1"/>
      <c r="B114" s="1" t="str">
        <f>'HE Summary'!B118</f>
        <v>*Note: For the 2009 collection cycle and later, Instructional FTE was defined according to the national Delaware Study of Instructional Costs and Productivity</v>
      </c>
      <c r="N114" s="1045" t="s">
        <v>19</v>
      </c>
      <c r="O114" s="1044"/>
      <c r="Q114" s="1044"/>
      <c r="S114" s="1044"/>
      <c r="U114" s="1044"/>
      <c r="W114" s="1044"/>
      <c r="Y114" s="1044"/>
    </row>
    <row r="115" spans="1:31" x14ac:dyDescent="0.2">
      <c r="A115" s="1"/>
      <c r="B115" s="1"/>
    </row>
    <row r="116" spans="1:31" x14ac:dyDescent="0.2">
      <c r="A116" s="1"/>
      <c r="B116" s="1"/>
    </row>
    <row r="117" spans="1:31" x14ac:dyDescent="0.2">
      <c r="A117" s="1"/>
      <c r="B117" s="1"/>
    </row>
    <row r="118" spans="1:31" x14ac:dyDescent="0.2">
      <c r="A118" s="1"/>
      <c r="B118" s="1"/>
    </row>
    <row r="119" spans="1:31" x14ac:dyDescent="0.2">
      <c r="A119" s="1"/>
      <c r="B119" s="1"/>
    </row>
    <row r="120" spans="1:31" x14ac:dyDescent="0.2">
      <c r="A120" s="1"/>
      <c r="B120" s="1"/>
    </row>
    <row r="121" spans="1:31" x14ac:dyDescent="0.2">
      <c r="A121" s="1"/>
      <c r="B121" s="1"/>
    </row>
    <row r="122" spans="1:31" x14ac:dyDescent="0.2">
      <c r="A122" s="1"/>
      <c r="B122" s="1"/>
    </row>
    <row r="123" spans="1:31" x14ac:dyDescent="0.2">
      <c r="A123" s="1"/>
      <c r="B123" s="1"/>
    </row>
    <row r="124" spans="1:31" x14ac:dyDescent="0.2">
      <c r="A124" s="1"/>
      <c r="B124" s="1"/>
    </row>
    <row r="125" spans="1:31" x14ac:dyDescent="0.2">
      <c r="A125" s="1"/>
      <c r="B125" s="1"/>
    </row>
    <row r="126" spans="1:31" x14ac:dyDescent="0.2">
      <c r="A126" s="1"/>
      <c r="B126" s="1"/>
    </row>
    <row r="127" spans="1:31" x14ac:dyDescent="0.2">
      <c r="A127" s="1"/>
      <c r="B127" s="1"/>
    </row>
    <row r="128" spans="1:31" x14ac:dyDescent="0.2">
      <c r="A128" s="1"/>
      <c r="B128" s="1"/>
    </row>
    <row r="129" spans="1:2" x14ac:dyDescent="0.2">
      <c r="A129" s="1"/>
      <c r="B129" s="1"/>
    </row>
    <row r="130" spans="1:2" x14ac:dyDescent="0.2">
      <c r="A130" s="1"/>
      <c r="B130" s="1"/>
    </row>
    <row r="131" spans="1:2" x14ac:dyDescent="0.2">
      <c r="A131" s="1"/>
      <c r="B131" s="1"/>
    </row>
    <row r="132" spans="1:2" x14ac:dyDescent="0.2">
      <c r="A132" s="1"/>
      <c r="B132" s="1"/>
    </row>
    <row r="133" spans="1:2" x14ac:dyDescent="0.2">
      <c r="A133" s="1"/>
      <c r="B133" s="1"/>
    </row>
    <row r="134" spans="1:2" x14ac:dyDescent="0.2">
      <c r="A134" s="1"/>
      <c r="B134" s="1"/>
    </row>
    <row r="135" spans="1:2" x14ac:dyDescent="0.2">
      <c r="A135" s="1"/>
      <c r="B135" s="1"/>
    </row>
    <row r="136" spans="1:2" x14ac:dyDescent="0.2">
      <c r="A136" s="1"/>
      <c r="B136" s="1"/>
    </row>
    <row r="137" spans="1:2" x14ac:dyDescent="0.2">
      <c r="A137" s="1"/>
      <c r="B137" s="1"/>
    </row>
    <row r="138" spans="1:2" x14ac:dyDescent="0.2">
      <c r="A138" s="1"/>
      <c r="B138" s="1"/>
    </row>
    <row r="139" spans="1:2" x14ac:dyDescent="0.2">
      <c r="A139" s="1"/>
      <c r="B139" s="1"/>
    </row>
    <row r="140" spans="1:2" x14ac:dyDescent="0.2">
      <c r="A140" s="1"/>
      <c r="B140" s="1"/>
    </row>
    <row r="141" spans="1:2" x14ac:dyDescent="0.2">
      <c r="A141" s="1"/>
      <c r="B141" s="1"/>
    </row>
    <row r="142" spans="1:2" x14ac:dyDescent="0.2">
      <c r="A142" s="1"/>
      <c r="B142" s="1"/>
    </row>
    <row r="143" spans="1:2" x14ac:dyDescent="0.2">
      <c r="A143" s="1"/>
      <c r="B143" s="1"/>
    </row>
    <row r="144" spans="1:2" x14ac:dyDescent="0.2">
      <c r="A144" s="1"/>
      <c r="B144" s="1"/>
    </row>
    <row r="145" spans="1:2" x14ac:dyDescent="0.2">
      <c r="A145" s="1"/>
      <c r="B145" s="1"/>
    </row>
    <row r="146" spans="1:2" x14ac:dyDescent="0.2">
      <c r="A146" s="1"/>
      <c r="B146" s="1"/>
    </row>
    <row r="147" spans="1:2" x14ac:dyDescent="0.2">
      <c r="A147" s="1"/>
      <c r="B147" s="1"/>
    </row>
    <row r="148" spans="1:2" x14ac:dyDescent="0.2">
      <c r="A148" s="1"/>
      <c r="B148" s="1"/>
    </row>
    <row r="149" spans="1:2" x14ac:dyDescent="0.2">
      <c r="A149" s="1"/>
      <c r="B149" s="1"/>
    </row>
    <row r="150" spans="1:2" x14ac:dyDescent="0.2">
      <c r="A150" s="1"/>
      <c r="B150" s="1"/>
    </row>
    <row r="151" spans="1:2" x14ac:dyDescent="0.2">
      <c r="A151" s="1"/>
      <c r="B151" s="1"/>
    </row>
    <row r="152" spans="1:2" x14ac:dyDescent="0.2">
      <c r="A152" s="1"/>
      <c r="B152" s="1"/>
    </row>
    <row r="153" spans="1:2" x14ac:dyDescent="0.2">
      <c r="A153" s="1"/>
      <c r="B153" s="1"/>
    </row>
    <row r="154" spans="1:2" x14ac:dyDescent="0.2">
      <c r="A154" s="1"/>
      <c r="B154" s="1"/>
    </row>
    <row r="155" spans="1:2" x14ac:dyDescent="0.2">
      <c r="A155" s="1"/>
      <c r="B155" s="1"/>
    </row>
    <row r="156" spans="1:2" x14ac:dyDescent="0.2">
      <c r="A156" s="1"/>
      <c r="B156" s="1"/>
    </row>
    <row r="157" spans="1:2" x14ac:dyDescent="0.2">
      <c r="A157" s="1"/>
      <c r="B157" s="1"/>
    </row>
    <row r="158" spans="1:2" x14ac:dyDescent="0.2">
      <c r="A158" s="1"/>
      <c r="B158" s="1"/>
    </row>
    <row r="159" spans="1:2" x14ac:dyDescent="0.2">
      <c r="A159" s="1"/>
      <c r="B159" s="1"/>
    </row>
    <row r="160" spans="1:2" x14ac:dyDescent="0.2">
      <c r="A160" s="1"/>
      <c r="B160" s="1"/>
    </row>
    <row r="161" spans="1:2" x14ac:dyDescent="0.2">
      <c r="A161" s="1"/>
      <c r="B161" s="1"/>
    </row>
    <row r="162" spans="1:2" x14ac:dyDescent="0.2">
      <c r="A162" s="1"/>
      <c r="B162" s="1"/>
    </row>
    <row r="163" spans="1:2" x14ac:dyDescent="0.2">
      <c r="A163" s="1"/>
      <c r="B163" s="1"/>
    </row>
    <row r="164" spans="1:2" x14ac:dyDescent="0.2">
      <c r="A164" s="1"/>
      <c r="B164" s="1"/>
    </row>
    <row r="165" spans="1:2" x14ac:dyDescent="0.2">
      <c r="A165" s="1"/>
      <c r="B165" s="1"/>
    </row>
    <row r="166" spans="1:2" x14ac:dyDescent="0.2">
      <c r="A166" s="1"/>
      <c r="B166" s="1"/>
    </row>
    <row r="167" spans="1:2" x14ac:dyDescent="0.2">
      <c r="A167" s="1"/>
      <c r="B167" s="1"/>
    </row>
    <row r="168" spans="1:2" x14ac:dyDescent="0.2">
      <c r="A168" s="1"/>
      <c r="B168" s="1"/>
    </row>
    <row r="169" spans="1:2" x14ac:dyDescent="0.2">
      <c r="A169" s="1"/>
      <c r="B169" s="1"/>
    </row>
    <row r="170" spans="1:2" x14ac:dyDescent="0.2">
      <c r="A170" s="1"/>
      <c r="B170" s="1"/>
    </row>
    <row r="171" spans="1:2" x14ac:dyDescent="0.2">
      <c r="A171" s="1"/>
      <c r="B171" s="1"/>
    </row>
    <row r="172" spans="1:2" x14ac:dyDescent="0.2">
      <c r="A172" s="1"/>
      <c r="B172" s="1"/>
    </row>
    <row r="173" spans="1:2" x14ac:dyDescent="0.2">
      <c r="A173" s="1"/>
      <c r="B173" s="1"/>
    </row>
    <row r="174" spans="1:2" x14ac:dyDescent="0.2">
      <c r="A174" s="1"/>
      <c r="B174" s="1"/>
    </row>
    <row r="175" spans="1:2" x14ac:dyDescent="0.2">
      <c r="A175" s="1"/>
      <c r="B175" s="1"/>
    </row>
    <row r="176" spans="1:2" x14ac:dyDescent="0.2">
      <c r="A176" s="1"/>
      <c r="B176" s="1"/>
    </row>
    <row r="177" spans="1:2" x14ac:dyDescent="0.2">
      <c r="A177" s="1"/>
      <c r="B177" s="1"/>
    </row>
    <row r="178" spans="1:2" x14ac:dyDescent="0.2">
      <c r="A178" s="1"/>
      <c r="B178" s="1"/>
    </row>
    <row r="179" spans="1:2" x14ac:dyDescent="0.2">
      <c r="A179" s="1"/>
      <c r="B179" s="1"/>
    </row>
    <row r="180" spans="1:2" x14ac:dyDescent="0.2">
      <c r="A180" s="1"/>
      <c r="B180" s="1"/>
    </row>
    <row r="181" spans="1:2" x14ac:dyDescent="0.2">
      <c r="A181" s="1"/>
      <c r="B181" s="1"/>
    </row>
    <row r="182" spans="1:2" x14ac:dyDescent="0.2">
      <c r="A182" s="1"/>
      <c r="B182" s="1"/>
    </row>
    <row r="183" spans="1:2" x14ac:dyDescent="0.2">
      <c r="A183" s="1"/>
      <c r="B183" s="1"/>
    </row>
    <row r="184" spans="1:2" x14ac:dyDescent="0.2">
      <c r="A184" s="1"/>
      <c r="B184" s="1"/>
    </row>
    <row r="185" spans="1:2" x14ac:dyDescent="0.2">
      <c r="A185" s="1"/>
      <c r="B185" s="1"/>
    </row>
    <row r="186" spans="1:2" x14ac:dyDescent="0.2">
      <c r="A186" s="1"/>
      <c r="B186" s="1"/>
    </row>
    <row r="187" spans="1:2" x14ac:dyDescent="0.2">
      <c r="A187" s="1"/>
      <c r="B187" s="1"/>
    </row>
    <row r="188" spans="1:2" x14ac:dyDescent="0.2">
      <c r="A188" s="1"/>
      <c r="B188" s="1"/>
    </row>
    <row r="189" spans="1:2" x14ac:dyDescent="0.2">
      <c r="A189" s="1"/>
      <c r="B189" s="1"/>
    </row>
    <row r="190" spans="1:2" x14ac:dyDescent="0.2">
      <c r="A190" s="1"/>
      <c r="B190" s="1"/>
    </row>
    <row r="191" spans="1:2" x14ac:dyDescent="0.2">
      <c r="A191" s="1"/>
      <c r="B191" s="1"/>
    </row>
    <row r="192" spans="1:2" x14ac:dyDescent="0.2">
      <c r="A192" s="1"/>
      <c r="B192" s="1"/>
    </row>
    <row r="193" spans="1:2" x14ac:dyDescent="0.2">
      <c r="A193" s="1"/>
      <c r="B193" s="1"/>
    </row>
    <row r="194" spans="1:2" x14ac:dyDescent="0.2">
      <c r="A194" s="1"/>
      <c r="B194" s="1"/>
    </row>
    <row r="195" spans="1:2" x14ac:dyDescent="0.2">
      <c r="A195" s="1"/>
      <c r="B195" s="1"/>
    </row>
    <row r="196" spans="1:2" x14ac:dyDescent="0.2">
      <c r="A196" s="1"/>
      <c r="B196" s="1"/>
    </row>
    <row r="197" spans="1:2" x14ac:dyDescent="0.2">
      <c r="A197" s="1"/>
      <c r="B197" s="1"/>
    </row>
    <row r="198" spans="1:2" x14ac:dyDescent="0.2">
      <c r="A198" s="1"/>
      <c r="B198" s="1"/>
    </row>
    <row r="199" spans="1:2" x14ac:dyDescent="0.2">
      <c r="A199" s="1"/>
      <c r="B199" s="1"/>
    </row>
    <row r="200" spans="1:2" x14ac:dyDescent="0.2">
      <c r="A200" s="1"/>
      <c r="B200" s="1"/>
    </row>
    <row r="201" spans="1:2" x14ac:dyDescent="0.2">
      <c r="A201" s="1"/>
      <c r="B201" s="1"/>
    </row>
    <row r="202" spans="1:2" x14ac:dyDescent="0.2">
      <c r="A202" s="1"/>
      <c r="B202" s="1"/>
    </row>
    <row r="203" spans="1:2" x14ac:dyDescent="0.2">
      <c r="A203" s="1"/>
      <c r="B203" s="1"/>
    </row>
    <row r="204" spans="1:2" x14ac:dyDescent="0.2">
      <c r="A204" s="1"/>
      <c r="B204" s="1"/>
    </row>
    <row r="205" spans="1:2" x14ac:dyDescent="0.2">
      <c r="A205" s="1"/>
      <c r="B205" s="1"/>
    </row>
    <row r="206" spans="1:2" x14ac:dyDescent="0.2">
      <c r="A206" s="1"/>
      <c r="B206" s="1"/>
    </row>
    <row r="207" spans="1:2" x14ac:dyDescent="0.2">
      <c r="A207" s="1"/>
      <c r="B207" s="1"/>
    </row>
    <row r="208" spans="1:2" x14ac:dyDescent="0.2">
      <c r="A208" s="1"/>
      <c r="B208" s="1"/>
    </row>
    <row r="209" spans="1:2" x14ac:dyDescent="0.2">
      <c r="A209" s="1"/>
      <c r="B209" s="1"/>
    </row>
    <row r="210" spans="1:2" x14ac:dyDescent="0.2">
      <c r="A210" s="1"/>
      <c r="B210" s="1"/>
    </row>
    <row r="211" spans="1:2" x14ac:dyDescent="0.2">
      <c r="A211" s="1"/>
      <c r="B211" s="1"/>
    </row>
    <row r="212" spans="1:2" x14ac:dyDescent="0.2">
      <c r="A212" s="1"/>
      <c r="B212" s="1"/>
    </row>
    <row r="213" spans="1:2" x14ac:dyDescent="0.2">
      <c r="A213" s="1"/>
      <c r="B213" s="1"/>
    </row>
    <row r="214" spans="1:2" x14ac:dyDescent="0.2">
      <c r="A214" s="1"/>
      <c r="B214" s="1"/>
    </row>
    <row r="215" spans="1:2" x14ac:dyDescent="0.2">
      <c r="A215" s="1"/>
      <c r="B215" s="1"/>
    </row>
    <row r="216" spans="1:2" x14ac:dyDescent="0.2">
      <c r="A216" s="1"/>
      <c r="B216" s="1"/>
    </row>
    <row r="217" spans="1:2" x14ac:dyDescent="0.2">
      <c r="A217" s="1"/>
      <c r="B217" s="1"/>
    </row>
    <row r="218" spans="1:2" x14ac:dyDescent="0.2">
      <c r="A218" s="1"/>
      <c r="B218" s="1"/>
    </row>
    <row r="219" spans="1:2" x14ac:dyDescent="0.2">
      <c r="A219" s="1"/>
      <c r="B219" s="1"/>
    </row>
    <row r="220" spans="1:2" x14ac:dyDescent="0.2">
      <c r="A220" s="1"/>
      <c r="B220" s="1"/>
    </row>
    <row r="221" spans="1:2" x14ac:dyDescent="0.2">
      <c r="A221" s="1"/>
      <c r="B221" s="1"/>
    </row>
    <row r="222" spans="1:2" x14ac:dyDescent="0.2">
      <c r="A222" s="1"/>
      <c r="B222" s="1"/>
    </row>
    <row r="223" spans="1:2" x14ac:dyDescent="0.2">
      <c r="A223" s="1"/>
      <c r="B223" s="1"/>
    </row>
    <row r="224" spans="1:2" x14ac:dyDescent="0.2">
      <c r="A224" s="1"/>
      <c r="B224" s="1"/>
    </row>
    <row r="225" spans="1:2" x14ac:dyDescent="0.2">
      <c r="A225" s="1"/>
      <c r="B225" s="1"/>
    </row>
    <row r="226" spans="1:2" x14ac:dyDescent="0.2">
      <c r="A226" s="1"/>
      <c r="B226" s="1"/>
    </row>
    <row r="227" spans="1:2" x14ac:dyDescent="0.2">
      <c r="A227" s="1"/>
      <c r="B227" s="1"/>
    </row>
    <row r="228" spans="1:2" x14ac:dyDescent="0.2">
      <c r="A228" s="1"/>
      <c r="B228" s="1"/>
    </row>
    <row r="229" spans="1:2" x14ac:dyDescent="0.2">
      <c r="A229" s="1"/>
      <c r="B229" s="1"/>
    </row>
    <row r="230" spans="1:2" x14ac:dyDescent="0.2">
      <c r="A230" s="1"/>
      <c r="B230" s="1"/>
    </row>
    <row r="231" spans="1:2" x14ac:dyDescent="0.2">
      <c r="A231" s="1"/>
      <c r="B231" s="1"/>
    </row>
    <row r="232" spans="1:2" x14ac:dyDescent="0.2">
      <c r="A232" s="1"/>
      <c r="B232" s="1"/>
    </row>
    <row r="233" spans="1:2" x14ac:dyDescent="0.2">
      <c r="A233" s="1"/>
      <c r="B233" s="1"/>
    </row>
    <row r="234" spans="1:2" x14ac:dyDescent="0.2">
      <c r="A234" s="1"/>
      <c r="B234" s="1"/>
    </row>
    <row r="235" spans="1:2" x14ac:dyDescent="0.2">
      <c r="A235" s="1"/>
      <c r="B235" s="1"/>
    </row>
    <row r="236" spans="1:2" x14ac:dyDescent="0.2">
      <c r="A236" s="1"/>
      <c r="B236" s="1"/>
    </row>
    <row r="237" spans="1:2" x14ac:dyDescent="0.2">
      <c r="A237" s="1"/>
      <c r="B237" s="1"/>
    </row>
    <row r="238" spans="1:2" x14ac:dyDescent="0.2">
      <c r="A238" s="1"/>
      <c r="B238" s="1"/>
    </row>
    <row r="239" spans="1:2" x14ac:dyDescent="0.2">
      <c r="A239" s="1"/>
      <c r="B239" s="1"/>
    </row>
  </sheetData>
  <mergeCells count="141">
    <mergeCell ref="M96:N96"/>
    <mergeCell ref="M91:N91"/>
    <mergeCell ref="M61:N61"/>
    <mergeCell ref="Q61:R61"/>
    <mergeCell ref="S61:T61"/>
    <mergeCell ref="K61:L61"/>
    <mergeCell ref="S7:T7"/>
    <mergeCell ref="S20:T20"/>
    <mergeCell ref="S28:T28"/>
    <mergeCell ref="S31:T31"/>
    <mergeCell ref="S35:T35"/>
    <mergeCell ref="O91:P91"/>
    <mergeCell ref="O96:P96"/>
    <mergeCell ref="S91:T91"/>
    <mergeCell ref="S96:T96"/>
    <mergeCell ref="O61:P61"/>
    <mergeCell ref="O20:P20"/>
    <mergeCell ref="O28:P28"/>
    <mergeCell ref="I7:J7"/>
    <mergeCell ref="Q35:R35"/>
    <mergeCell ref="K7:L7"/>
    <mergeCell ref="K20:L20"/>
    <mergeCell ref="K35:L35"/>
    <mergeCell ref="K28:L28"/>
    <mergeCell ref="M28:N28"/>
    <mergeCell ref="Q20:R20"/>
    <mergeCell ref="Q28:R28"/>
    <mergeCell ref="Q31:R31"/>
    <mergeCell ref="K31:L31"/>
    <mergeCell ref="Q7:R7"/>
    <mergeCell ref="M7:N7"/>
    <mergeCell ref="M20:N20"/>
    <mergeCell ref="M35:N35"/>
    <mergeCell ref="M31:N31"/>
    <mergeCell ref="O7:P7"/>
    <mergeCell ref="O31:P31"/>
    <mergeCell ref="O35:P35"/>
    <mergeCell ref="I20:J20"/>
    <mergeCell ref="I35:J35"/>
    <mergeCell ref="G35:H35"/>
    <mergeCell ref="I61:J61"/>
    <mergeCell ref="G61:H61"/>
    <mergeCell ref="C35:D35"/>
    <mergeCell ref="E31:F31"/>
    <mergeCell ref="C20:D20"/>
    <mergeCell ref="C31:D31"/>
    <mergeCell ref="E29:F29"/>
    <mergeCell ref="C28:D28"/>
    <mergeCell ref="E28:F28"/>
    <mergeCell ref="E20:F20"/>
    <mergeCell ref="I28:J28"/>
    <mergeCell ref="C29:D29"/>
    <mergeCell ref="G30:H30"/>
    <mergeCell ref="I30:J30"/>
    <mergeCell ref="G20:H20"/>
    <mergeCell ref="G28:H28"/>
    <mergeCell ref="G31:H31"/>
    <mergeCell ref="I31:J31"/>
    <mergeCell ref="G29:H29"/>
    <mergeCell ref="C99:D99"/>
    <mergeCell ref="I99:J99"/>
    <mergeCell ref="C104:D104"/>
    <mergeCell ref="I104:J104"/>
    <mergeCell ref="AB91:AC91"/>
    <mergeCell ref="I29:J29"/>
    <mergeCell ref="C30:D30"/>
    <mergeCell ref="E30:F30"/>
    <mergeCell ref="G91:H91"/>
    <mergeCell ref="I91:J91"/>
    <mergeCell ref="K91:L91"/>
    <mergeCell ref="C61:D61"/>
    <mergeCell ref="AB96:AC96"/>
    <mergeCell ref="C91:D91"/>
    <mergeCell ref="E91:F91"/>
    <mergeCell ref="C96:D96"/>
    <mergeCell ref="E96:F96"/>
    <mergeCell ref="G96:H96"/>
    <mergeCell ref="Q91:R91"/>
    <mergeCell ref="Q96:R96"/>
    <mergeCell ref="I96:J96"/>
    <mergeCell ref="K96:L96"/>
    <mergeCell ref="E61:F61"/>
    <mergeCell ref="E35:F35"/>
    <mergeCell ref="AB7:AC7"/>
    <mergeCell ref="AB20:AC20"/>
    <mergeCell ref="AB35:AC35"/>
    <mergeCell ref="AB61:AC61"/>
    <mergeCell ref="AB31:AC31"/>
    <mergeCell ref="U91:V91"/>
    <mergeCell ref="U96:V96"/>
    <mergeCell ref="U7:V7"/>
    <mergeCell ref="U20:V20"/>
    <mergeCell ref="U28:V28"/>
    <mergeCell ref="U31:V31"/>
    <mergeCell ref="U35:V35"/>
    <mergeCell ref="U61:V61"/>
    <mergeCell ref="AB28:AC28"/>
    <mergeCell ref="W91:X91"/>
    <mergeCell ref="W96:X96"/>
    <mergeCell ref="W7:X7"/>
    <mergeCell ref="W20:X20"/>
    <mergeCell ref="W28:X28"/>
    <mergeCell ref="W31:X31"/>
    <mergeCell ref="W35:X35"/>
    <mergeCell ref="W61:X61"/>
    <mergeCell ref="Y7:Z7"/>
    <mergeCell ref="Y20:Z20"/>
    <mergeCell ref="C113:D113"/>
    <mergeCell ref="I113:J113"/>
    <mergeCell ref="I111:J111"/>
    <mergeCell ref="C112:D112"/>
    <mergeCell ref="I112:J112"/>
    <mergeCell ref="C108:D108"/>
    <mergeCell ref="I108:J108"/>
    <mergeCell ref="C109:D109"/>
    <mergeCell ref="C111:D111"/>
    <mergeCell ref="I109:J109"/>
    <mergeCell ref="Y28:Z28"/>
    <mergeCell ref="Y31:Z31"/>
    <mergeCell ref="Y35:Z35"/>
    <mergeCell ref="Y61:Z61"/>
    <mergeCell ref="Y91:Z91"/>
    <mergeCell ref="Y96:Z96"/>
    <mergeCell ref="C110:D110"/>
    <mergeCell ref="I110:J110"/>
    <mergeCell ref="C106:D106"/>
    <mergeCell ref="C107:D107"/>
    <mergeCell ref="I107:J107"/>
    <mergeCell ref="C105:D105"/>
    <mergeCell ref="I105:J105"/>
    <mergeCell ref="I106:J106"/>
    <mergeCell ref="C102:D102"/>
    <mergeCell ref="I102:J102"/>
    <mergeCell ref="C103:D103"/>
    <mergeCell ref="I103:J103"/>
    <mergeCell ref="C100:D100"/>
    <mergeCell ref="I100:J100"/>
    <mergeCell ref="C101:D101"/>
    <mergeCell ref="I101:J101"/>
    <mergeCell ref="C98:D98"/>
    <mergeCell ref="I98:J98"/>
  </mergeCells>
  <printOptions horizontalCentered="1"/>
  <pageMargins left="0.5" right="0.5" top="0.5" bottom="0.5" header="0.5" footer="0.25"/>
  <pageSetup scale="70" orientation="landscape" r:id="rId1"/>
  <headerFooter alignWithMargins="0">
    <oddFooter>&amp;R&amp;P of &amp;N
&amp;D</oddFooter>
  </headerFooter>
  <rowBreaks count="1" manualBreakCount="1">
    <brk id="5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8"/>
  <sheetViews>
    <sheetView tabSelected="1" zoomScaleNormal="100" zoomScaleSheetLayoutView="100" workbookViewId="0">
      <pane xSplit="6" topLeftCell="M1" activePane="topRight" state="frozen"/>
      <selection activeCell="W1" sqref="W1:Z1048576"/>
      <selection pane="topRight" activeCell="AB1" sqref="AB1:AC1048576"/>
    </sheetView>
  </sheetViews>
  <sheetFormatPr defaultColWidth="10.28515625" defaultRowHeight="12.75" x14ac:dyDescent="0.2"/>
  <cols>
    <col min="1" max="1" width="3.7109375" style="1" customWidth="1"/>
    <col min="2" max="2" width="31" style="1" customWidth="1"/>
    <col min="3" max="3" width="7.7109375" hidden="1" customWidth="1"/>
    <col min="4" max="4" width="2.7109375" style="1" hidden="1" customWidth="1"/>
    <col min="5" max="5" width="7.7109375" style="1" hidden="1" customWidth="1"/>
    <col min="6" max="6" width="10.85546875" style="1" hidden="1" customWidth="1"/>
    <col min="7" max="7" width="7.7109375" style="1" hidden="1" customWidth="1"/>
    <col min="8" max="8" width="11" style="1" hidden="1" customWidth="1"/>
    <col min="9" max="9" width="7.7109375" style="95" hidden="1" customWidth="1"/>
    <col min="10" max="10" width="11.140625" style="95" hidden="1" customWidth="1"/>
    <col min="11" max="11" width="7.7109375" style="1" hidden="1" customWidth="1"/>
    <col min="12" max="12" width="11" style="1" hidden="1" customWidth="1"/>
    <col min="13" max="13" width="7.7109375" style="1" hidden="1" customWidth="1"/>
    <col min="14" max="14" width="11.140625" style="1" hidden="1" customWidth="1"/>
    <col min="15" max="15" width="7.7109375" style="1" customWidth="1"/>
    <col min="16" max="16" width="11" style="1" customWidth="1"/>
    <col min="17" max="17" width="7.7109375" style="1" customWidth="1"/>
    <col min="18" max="18" width="11.28515625" style="1" customWidth="1"/>
    <col min="19" max="19" width="7.7109375" style="1" customWidth="1"/>
    <col min="20" max="20" width="11.28515625" style="1" bestFit="1" customWidth="1"/>
    <col min="21" max="21" width="7.7109375" style="1" customWidth="1"/>
    <col min="22" max="22" width="11.28515625" style="1" bestFit="1" customWidth="1"/>
    <col min="23" max="23" width="7.7109375" style="1" customWidth="1"/>
    <col min="24" max="24" width="11.28515625" style="1" bestFit="1" customWidth="1"/>
    <col min="25" max="25" width="7.7109375" style="1" customWidth="1"/>
    <col min="26" max="26" width="11.28515625" style="1" bestFit="1" customWidth="1"/>
    <col min="27" max="27" width="2.5703125" style="1" customWidth="1"/>
    <col min="28" max="28" width="9.140625" style="1" hidden="1" customWidth="1"/>
    <col min="29" max="29" width="11.28515625" style="1" hidden="1" customWidth="1"/>
    <col min="30" max="30" width="2.140625" style="1" customWidth="1"/>
    <col min="31" max="16384" width="10.28515625" style="1"/>
  </cols>
  <sheetData>
    <row r="1" spans="1:32" s="95" customFormat="1" ht="18" x14ac:dyDescent="0.25">
      <c r="A1" s="806" t="s">
        <v>208</v>
      </c>
      <c r="B1" s="806"/>
      <c r="C1" s="806"/>
      <c r="D1" s="806"/>
      <c r="E1" s="806"/>
      <c r="F1" s="806"/>
      <c r="G1" s="806"/>
      <c r="H1" s="806"/>
      <c r="I1" s="769"/>
      <c r="J1" s="769"/>
      <c r="K1" s="769"/>
      <c r="L1" s="769"/>
      <c r="M1" s="769"/>
      <c r="N1" s="769"/>
      <c r="O1" s="769"/>
      <c r="P1" s="769"/>
      <c r="Q1" s="769"/>
      <c r="R1" s="769"/>
      <c r="S1" s="769"/>
      <c r="T1" s="769"/>
      <c r="U1" s="769"/>
      <c r="V1" s="769"/>
      <c r="W1" s="769"/>
      <c r="X1" s="769"/>
      <c r="Y1" s="769"/>
      <c r="Z1" s="769"/>
      <c r="AA1" s="769"/>
      <c r="AB1" s="769"/>
      <c r="AC1" s="769"/>
    </row>
    <row r="2" spans="1:32" s="95" customFormat="1" ht="15.75" x14ac:dyDescent="0.25">
      <c r="A2" s="1244" t="s">
        <v>210</v>
      </c>
      <c r="B2" s="767"/>
      <c r="C2" s="767"/>
      <c r="D2" s="767"/>
      <c r="E2" s="767"/>
      <c r="F2" s="767"/>
      <c r="G2" s="767"/>
      <c r="H2" s="767"/>
      <c r="I2" s="765"/>
      <c r="J2" s="765"/>
      <c r="K2" s="765"/>
      <c r="L2" s="765"/>
      <c r="M2" s="765"/>
      <c r="N2" s="765"/>
      <c r="O2" s="765"/>
      <c r="P2" s="765"/>
      <c r="Q2" s="765"/>
      <c r="R2" s="765"/>
      <c r="S2" s="765"/>
      <c r="T2" s="765"/>
      <c r="U2" s="765"/>
      <c r="V2" s="765"/>
      <c r="W2" s="765"/>
      <c r="X2" s="1236" t="s">
        <v>19</v>
      </c>
      <c r="Y2" s="765"/>
      <c r="Z2" s="1236" t="s">
        <v>19</v>
      </c>
      <c r="AA2" s="765"/>
      <c r="AB2" s="765"/>
      <c r="AC2" s="765"/>
    </row>
    <row r="3" spans="1:32" s="95" customFormat="1" x14ac:dyDescent="0.2">
      <c r="A3" s="215" t="s">
        <v>45</v>
      </c>
      <c r="S3" s="435"/>
      <c r="T3" s="435"/>
      <c r="U3" s="435"/>
      <c r="V3" s="435"/>
      <c r="W3" s="435" t="s">
        <v>19</v>
      </c>
      <c r="X3" s="435"/>
      <c r="Y3" s="435"/>
      <c r="Z3" s="435"/>
      <c r="AB3" s="1"/>
      <c r="AC3" s="1"/>
    </row>
    <row r="4" spans="1:32" s="95" customFormat="1" ht="13.5" thickBot="1" x14ac:dyDescent="0.25">
      <c r="A4" s="215"/>
      <c r="AB4" s="1"/>
      <c r="AC4" s="1"/>
    </row>
    <row r="5" spans="1:32" s="95" customFormat="1" ht="13.5" customHeight="1" thickTop="1" x14ac:dyDescent="0.2">
      <c r="B5" s="429"/>
      <c r="C5" s="226" t="s">
        <v>27</v>
      </c>
      <c r="D5" s="343"/>
      <c r="E5" s="430" t="s">
        <v>28</v>
      </c>
      <c r="F5" s="343"/>
      <c r="G5" s="430" t="s">
        <v>83</v>
      </c>
      <c r="H5" s="343"/>
      <c r="I5" s="1250" t="s">
        <v>93</v>
      </c>
      <c r="J5" s="1250"/>
      <c r="K5" s="1267" t="s">
        <v>94</v>
      </c>
      <c r="L5" s="1250"/>
      <c r="M5" s="1267" t="s">
        <v>100</v>
      </c>
      <c r="N5" s="1251"/>
      <c r="O5" s="1250" t="s">
        <v>143</v>
      </c>
      <c r="P5" s="1251"/>
      <c r="Q5" s="1250" t="s">
        <v>149</v>
      </c>
      <c r="R5" s="1251"/>
      <c r="S5" s="1250" t="s">
        <v>167</v>
      </c>
      <c r="T5" s="1251"/>
      <c r="U5" s="1250" t="s">
        <v>181</v>
      </c>
      <c r="V5" s="1251"/>
      <c r="W5" s="1250" t="s">
        <v>194</v>
      </c>
      <c r="X5" s="1251"/>
      <c r="Y5" s="1250" t="s">
        <v>203</v>
      </c>
      <c r="Z5" s="1251"/>
      <c r="AB5" s="1263" t="s">
        <v>133</v>
      </c>
      <c r="AC5" s="1316"/>
    </row>
    <row r="6" spans="1:32" s="95" customFormat="1" ht="12" x14ac:dyDescent="0.2">
      <c r="B6" s="431"/>
      <c r="C6" s="227" t="s">
        <v>0</v>
      </c>
      <c r="D6" s="333" t="s">
        <v>1</v>
      </c>
      <c r="E6" s="299" t="s">
        <v>0</v>
      </c>
      <c r="F6" s="333" t="s">
        <v>1</v>
      </c>
      <c r="G6" s="299" t="s">
        <v>0</v>
      </c>
      <c r="H6" s="349" t="s">
        <v>1</v>
      </c>
      <c r="I6" s="227" t="s">
        <v>0</v>
      </c>
      <c r="J6" s="349" t="s">
        <v>1</v>
      </c>
      <c r="K6" s="227" t="s">
        <v>0</v>
      </c>
      <c r="L6" s="349" t="s">
        <v>1</v>
      </c>
      <c r="M6" s="227" t="s">
        <v>0</v>
      </c>
      <c r="N6" s="333" t="s">
        <v>1</v>
      </c>
      <c r="O6" s="299" t="s">
        <v>0</v>
      </c>
      <c r="P6" s="333" t="s">
        <v>1</v>
      </c>
      <c r="Q6" s="299" t="s">
        <v>0</v>
      </c>
      <c r="R6" s="333" t="s">
        <v>1</v>
      </c>
      <c r="S6" s="299" t="s">
        <v>0</v>
      </c>
      <c r="T6" s="333" t="s">
        <v>1</v>
      </c>
      <c r="U6" s="299" t="s">
        <v>0</v>
      </c>
      <c r="V6" s="333" t="s">
        <v>1</v>
      </c>
      <c r="W6" s="299" t="s">
        <v>0</v>
      </c>
      <c r="X6" s="333" t="s">
        <v>1</v>
      </c>
      <c r="Y6" s="299" t="s">
        <v>0</v>
      </c>
      <c r="Z6" s="333" t="s">
        <v>1</v>
      </c>
      <c r="AB6" s="642" t="s">
        <v>0</v>
      </c>
      <c r="AC6" s="643" t="s">
        <v>1</v>
      </c>
    </row>
    <row r="7" spans="1:32" s="95" customFormat="1" thickBot="1" x14ac:dyDescent="0.25">
      <c r="B7" s="432"/>
      <c r="C7" s="228" t="s">
        <v>2</v>
      </c>
      <c r="D7" s="334" t="s">
        <v>3</v>
      </c>
      <c r="E7" s="300" t="s">
        <v>2</v>
      </c>
      <c r="F7" s="334" t="s">
        <v>3</v>
      </c>
      <c r="G7" s="300" t="s">
        <v>2</v>
      </c>
      <c r="H7" s="350" t="s">
        <v>3</v>
      </c>
      <c r="I7" s="228" t="s">
        <v>2</v>
      </c>
      <c r="J7" s="350" t="s">
        <v>3</v>
      </c>
      <c r="K7" s="228" t="s">
        <v>2</v>
      </c>
      <c r="L7" s="350" t="s">
        <v>3</v>
      </c>
      <c r="M7" s="228" t="s">
        <v>2</v>
      </c>
      <c r="N7" s="334" t="s">
        <v>3</v>
      </c>
      <c r="O7" s="300" t="s">
        <v>2</v>
      </c>
      <c r="P7" s="334" t="s">
        <v>3</v>
      </c>
      <c r="Q7" s="300" t="s">
        <v>2</v>
      </c>
      <c r="R7" s="334" t="s">
        <v>3</v>
      </c>
      <c r="S7" s="300" t="s">
        <v>2</v>
      </c>
      <c r="T7" s="334" t="s">
        <v>3</v>
      </c>
      <c r="U7" s="300" t="s">
        <v>2</v>
      </c>
      <c r="V7" s="334" t="s">
        <v>3</v>
      </c>
      <c r="W7" s="300" t="s">
        <v>2</v>
      </c>
      <c r="X7" s="334" t="s">
        <v>3</v>
      </c>
      <c r="Y7" s="300" t="s">
        <v>2</v>
      </c>
      <c r="Z7" s="334" t="s">
        <v>3</v>
      </c>
      <c r="AB7" s="644" t="s">
        <v>2</v>
      </c>
      <c r="AC7" s="645" t="s">
        <v>3</v>
      </c>
    </row>
    <row r="8" spans="1:32" s="95" customFormat="1" ht="12" x14ac:dyDescent="0.2">
      <c r="B8" s="433" t="s">
        <v>4</v>
      </c>
      <c r="C8" s="194"/>
      <c r="D8" s="193"/>
      <c r="E8" s="194"/>
      <c r="F8" s="193"/>
      <c r="G8" s="194"/>
      <c r="H8" s="193"/>
      <c r="I8" s="194"/>
      <c r="J8" s="193"/>
      <c r="K8" s="194"/>
      <c r="L8" s="352"/>
      <c r="M8" s="194"/>
      <c r="N8" s="812"/>
      <c r="O8" s="195"/>
      <c r="P8" s="812"/>
      <c r="Q8" s="195"/>
      <c r="R8" s="812"/>
      <c r="S8" s="195"/>
      <c r="T8" s="812"/>
      <c r="U8" s="195"/>
      <c r="V8" s="812"/>
      <c r="W8" s="195"/>
      <c r="X8" s="812"/>
      <c r="Y8" s="195"/>
      <c r="Z8" s="812"/>
      <c r="AB8" s="649"/>
      <c r="AC8" s="272"/>
    </row>
    <row r="9" spans="1:32" s="95" customFormat="1" ht="12" x14ac:dyDescent="0.2">
      <c r="B9" s="96" t="s">
        <v>137</v>
      </c>
      <c r="C9" s="119">
        <f>Dean_HE!C12+Dean_HE!C16+Dean_HE!C13+Dean_HE!C22+ATID!C12+ATID!C17+HMD!C12+HMD!C16+'Human Nutrition'!C11+'Human Nutrition'!C15+FSHS!C12+FSHS!C21+FSHS!C25</f>
        <v>1805</v>
      </c>
      <c r="D9" s="102">
        <f>Dean_HE!D12+Dean_HE!D16+Dean_HE!D13+ATID!D12+ATID!D17+HMD!D12+HMD!D16+'Human Nutrition'!D11+'Human Nutrition'!D15+FSHS!D12+FSHS!D21+FSHS!D25</f>
        <v>363</v>
      </c>
      <c r="E9" s="119">
        <f>Dean_HE!E12+Dean_HE!E16+Dean_HE!E13+Dean_HE!E22+ATID!E12+ATID!E17+HMD!E12+HMD!E16+'Human Nutrition'!E11+'Human Nutrition'!E15+FSHS!E12+FSHS!E21+FSHS!E25</f>
        <v>1988</v>
      </c>
      <c r="F9" s="102">
        <f>Dean_HE!F12+Dean_HE!F16+Dean_HE!F13+ATID!F12+ATID!F17+HMD!F12+HMD!F16+'Human Nutrition'!F11+'Human Nutrition'!F15+FSHS!F12+FSHS!F21+FSHS!F25</f>
        <v>450</v>
      </c>
      <c r="G9" s="119">
        <f>Dean_HE!G12+Dean_HE!G16+Dean_HE!G13+Dean_HE!G22+ATID!G12+ATID!G17+HMD!G12+HMD!G16+'Human Nutrition'!G11+'Human Nutrition'!G15+FSHS!G12+FSHS!G21+FSHS!G25</f>
        <v>2023</v>
      </c>
      <c r="H9" s="102">
        <f>Dean_HE!H12+Dean_HE!H16+Dean_HE!H13+ATID!H12+ATID!H17+HMD!H12+HMD!H16+'Human Nutrition'!H11+'Human Nutrition'!H15+FSHS!H12+FSHS!H21+FSHS!H25</f>
        <v>437</v>
      </c>
      <c r="I9" s="119">
        <f>Dean_HE!I12+Dean_HE!I16+Dean_HE!I13+Dean_HE!I22+ATID!I12+ATID!I17+HMD!I12+HMD!I16+'Human Nutrition'!I11+'Human Nutrition'!I15+FSHS!I12+FSHS!I21+FSHS!I25</f>
        <v>2074</v>
      </c>
      <c r="J9" s="102">
        <f>Dean_HE!J12+Dean_HE!J16+Dean_HE!J13+ATID!J12+ATID!J17+HMD!J12+HMD!J16+'Human Nutrition'!J11+'Human Nutrition'!J15+FSHS!J12+FSHS!J21+FSHS!J25</f>
        <v>436</v>
      </c>
      <c r="K9" s="119">
        <f>Dean_HE!K12+Dean_HE!K16+Dean_HE!K13+Dean_HE!K22+ATID!K12+ATID!K17+HMD!K12+HMD!K16+'Human Nutrition'!K11+'Human Nutrition'!K15+FSHS!K12+FSHS!K21+FSHS!K25</f>
        <v>2002</v>
      </c>
      <c r="L9" s="102">
        <f>Dean_HE!L12+Dean_HE!L16+Dean_HE!L13+ATID!L12+ATID!L17+HMD!L12+HMD!L16+'Human Nutrition'!L11+'Human Nutrition'!L15+FSHS!L12+FSHS!L21+FSHS!L25</f>
        <v>484</v>
      </c>
      <c r="M9" s="119">
        <f>Dean_HE!M12+Dean_HE!M16+Dean_HE!M13+Dean_HE!M22+ATID!M12+ATID!M17+HMD!M12+HMD!M16+'Human Nutrition'!M11+'Human Nutrition'!M15+FSHS!M12+FSHS!M21+FSHS!M25</f>
        <v>1991</v>
      </c>
      <c r="N9" s="102">
        <f>Dean_HE!N12+Dean_HE!N16+Dean_HE!N13+ATID!N12+ATID!N17+HMD!N12+HMD!N16+'Human Nutrition'!N11+'Human Nutrition'!N15+FSHS!N12+FSHS!N21+FSHS!N25</f>
        <v>399</v>
      </c>
      <c r="O9" s="119">
        <f>Dean_HE!O12+Dean_HE!O16+Dean_HE!O13+Dean_HE!O22+ATID!O12+ATID!O17+HMD!O12+HMD!O16+'Human Nutrition'!O11+'Human Nutrition'!O15+FSHS!O12+FSHS!O21+FSHS!O25</f>
        <v>2017</v>
      </c>
      <c r="P9" s="102">
        <f>Dean_HE!P12+Dean_HE!P16+Dean_HE!P13+ATID!P12+ATID!P17+HMD!P12+HMD!P16+'Human Nutrition'!P11+'Human Nutrition'!P15+FSHS!P12+FSHS!P21+FSHS!P25</f>
        <v>412</v>
      </c>
      <c r="Q9" s="119">
        <f>Dean_HE!Q12+Dean_HE!Q16+Dean_HE!Q13+Dean_HE!Q22+ATID!Q12+ATID!Q17+HMD!Q12+HMD!Q16+'Human Nutrition'!Q11+'Human Nutrition'!Q15+FSHS!Q12+FSHS!Q21+FSHS!Q25</f>
        <v>2131</v>
      </c>
      <c r="R9" s="102">
        <f>Dean_HE!R12+Dean_HE!R16+Dean_HE!R13+ATID!R12+ATID!R17+HMD!R12+HMD!R16+'Human Nutrition'!R11+'Human Nutrition'!R15+FSHS!R12+FSHS!R21+FSHS!R25</f>
        <v>477</v>
      </c>
      <c r="S9" s="119">
        <f>Dean_HE!S12+Dean_HE!S16+Dean_HE!S13+Dean_HE!S22+ATID!S12+ATID!S17+HMD!S12+HMD!S16+'Human Nutrition'!S11+'Human Nutrition'!S15+FSHS!S12+FSHS!S21+FSHS!S25</f>
        <v>2163</v>
      </c>
      <c r="T9" s="102">
        <f>Dean_HE!T12+Dean_HE!T16+Dean_HE!T13+ATID!T12+ATID!T17+HMD!T12+HMD!T16+'Human Nutrition'!T11+'Human Nutrition'!T15+FSHS!T12+FSHS!T21+FSHS!T25</f>
        <v>476</v>
      </c>
      <c r="U9" s="119">
        <f>Dean_HE!U12+Dean_HE!U16+Dean_HE!U13+Dean_HE!U22+ATID!U12+ATID!U17+HMD!U12+HMD!U16+'Human Nutrition'!U11+'Human Nutrition'!U15+FSHS!U12+FSHS!U21+FSHS!U25</f>
        <v>2222</v>
      </c>
      <c r="V9" s="102">
        <f>Dean_HE!V12+Dean_HE!V16+Dean_HE!V13+ATID!V12+ATID!V17+HMD!V12+HMD!V16+'Human Nutrition'!V11+'Human Nutrition'!V15+FSHS!V12+FSHS!V21+FSHS!V25</f>
        <v>467</v>
      </c>
      <c r="W9" s="119">
        <f>Dean_HE!W12+Dean_HE!W16+Dean_HE!W13+Dean_HE!W22+ATID!W12+ATID!W17+HMD!W12+HMD!W16+'Human Nutrition'!W11+'Human Nutrition'!W15+FSHS!W12+FSHS!W21+FSHS!W25+Kinesiology!W12+Kinesiology!W16</f>
        <v>2965</v>
      </c>
      <c r="X9" s="102">
        <f>Dean_HE!X12+Dean_HE!X16+Dean_HE!X13+ATID!X12+ATID!X17+HMD!X12+HMD!X16+'Human Nutrition'!X11+'Human Nutrition'!X15+FSHS!X12+FSHS!X28+FSHS!X21+FSHS!X25+Kinesiology!X16+Kinesiology!X12</f>
        <v>653</v>
      </c>
      <c r="Y9" s="119">
        <f>Dean_HE!Y12+Dean_HE!Y13+Dean_HE!Y22+ATID!Y12+ATID!Y17+HMD!Y12+HMD!Y16+'Human Nutrition'!Y11+'Human Nutrition'!Y15+FSHS!Y12+FSHS!Y21+FSHS!Y25+Kinesiology!Y12+Kinesiology!Y16+FSHS!Y28</f>
        <v>2994</v>
      </c>
      <c r="Z9" s="1025"/>
      <c r="AA9" s="766"/>
      <c r="AB9" s="763">
        <f>AVERAGE(W9,U9,S9,Q9,Y9)</f>
        <v>2495</v>
      </c>
      <c r="AC9" s="675">
        <f t="shared" ref="AC9:AC10" si="0">AVERAGE(X9,V9,T9,R9,Z9)</f>
        <v>518.25</v>
      </c>
    </row>
    <row r="10" spans="1:32" s="95" customFormat="1" ht="12" x14ac:dyDescent="0.2">
      <c r="B10" s="96" t="s">
        <v>54</v>
      </c>
      <c r="C10" s="68" t="e">
        <f>ATID!C13+FSHS!#REF!+FSHS!C26+FSHS!C34</f>
        <v>#REF!</v>
      </c>
      <c r="D10" s="102" t="e">
        <f>ATID!D13+FSHS!#REF!+FSHS!D26+FSHS!D34</f>
        <v>#REF!</v>
      </c>
      <c r="E10" s="68" t="e">
        <f>ATID!E13+FSHS!#REF!+FSHS!E26+FSHS!E34</f>
        <v>#REF!</v>
      </c>
      <c r="F10" s="102" t="e">
        <f>ATID!F13+FSHS!#REF!+FSHS!F26+FSHS!F34</f>
        <v>#REF!</v>
      </c>
      <c r="G10" s="68">
        <f>ATID!G13+FSHS!G26+FSHS!G34</f>
        <v>6</v>
      </c>
      <c r="H10" s="98">
        <f>ATID!H13+FSHS!H26+FSHS!H34</f>
        <v>1</v>
      </c>
      <c r="I10" s="209">
        <f>ATID!I13+FSHS!I26+FSHS!I34</f>
        <v>4</v>
      </c>
      <c r="J10" s="97">
        <f>ATID!J13+FSHS!J26+FSHS!J34</f>
        <v>0</v>
      </c>
      <c r="K10" s="209">
        <f>ATID!K13+FSHS!K26+FSHS!K34</f>
        <v>2</v>
      </c>
      <c r="L10" s="97">
        <f>ATID!L13+FSHS!L26+FSHS!L34</f>
        <v>0</v>
      </c>
      <c r="M10" s="68">
        <f>ATID!M13+FSHS!M26+FSHS!M34</f>
        <v>0</v>
      </c>
      <c r="N10" s="98">
        <f>ATID!N13+FSHS!N26+FSHS!N34</f>
        <v>0</v>
      </c>
      <c r="O10" s="68">
        <f>ATID!O13+FSHS!O26+FSHS!O34+FSHS!O13+HMD!O17</f>
        <v>0</v>
      </c>
      <c r="P10" s="98">
        <f>ATID!P13+FSHS!P13+FSHS!P26+FSHS!P34</f>
        <v>0</v>
      </c>
      <c r="Q10" s="68">
        <f>ATID!Q13+FSHS!Q26+FSHS!Q34+FSHS!Q13+HMD!Q17</f>
        <v>11</v>
      </c>
      <c r="R10" s="102">
        <f>ATID!R13+FSHS!R13+FSHS!R26+FSHS!R34</f>
        <v>0</v>
      </c>
      <c r="S10" s="68">
        <f>ATID!S13+FSHS!S26+FSHS!S34+FSHS!S13+HMD!S17</f>
        <v>33</v>
      </c>
      <c r="T10" s="102">
        <f>ATID!T13+FSHS!T13+FSHS!T26+FSHS!T34</f>
        <v>19</v>
      </c>
      <c r="U10" s="68">
        <f>ATID!U13+FSHS!U26+FSHS!U34+FSHS!U13+HMD!U17</f>
        <v>63</v>
      </c>
      <c r="V10" s="102">
        <f>ATID!V13+FSHS!V13+FSHS!V26+FSHS!V34+HMD!V17</f>
        <v>27</v>
      </c>
      <c r="W10" s="1188">
        <f>ATID!W13+FSHS!W26+FSHS!W34+FSHS!W13+HMD!W17+Kinesiology!W13</f>
        <v>119</v>
      </c>
      <c r="X10" s="102">
        <f>ATID!X13+FSHS!X13+FSHS!X26+FSHS!X34+HMD!X17+Kinesiology!X13</f>
        <v>64</v>
      </c>
      <c r="Y10" s="1188">
        <f>ATID!Y13+FSHS!Y26+FSHS!Y34+FSHS!Y13+HMD!Y17+Kinesiology!Y13</f>
        <v>133</v>
      </c>
      <c r="Z10" s="1025"/>
      <c r="AA10" s="766"/>
      <c r="AB10" s="763">
        <f t="shared" ref="AB10:AB15" si="1">AVERAGE(W10,U10,S10,Q10,Y10)</f>
        <v>71.8</v>
      </c>
      <c r="AC10" s="675">
        <f t="shared" si="0"/>
        <v>27.5</v>
      </c>
      <c r="AD10" s="843"/>
    </row>
    <row r="11" spans="1:32" s="95" customFormat="1" ht="12" x14ac:dyDescent="0.2">
      <c r="B11" s="121" t="s">
        <v>73</v>
      </c>
      <c r="C11" s="126">
        <f>Dean_HE!C18</f>
        <v>30</v>
      </c>
      <c r="D11" s="111">
        <v>0</v>
      </c>
      <c r="E11" s="126">
        <f>Dean_HE!E18</f>
        <v>29</v>
      </c>
      <c r="F11" s="111">
        <v>0</v>
      </c>
      <c r="G11" s="126">
        <f>Dean_HE!G18</f>
        <v>37</v>
      </c>
      <c r="H11" s="111">
        <v>0</v>
      </c>
      <c r="I11" s="126">
        <f>Dean_HE!I18</f>
        <v>61</v>
      </c>
      <c r="J11" s="978" t="s">
        <v>169</v>
      </c>
      <c r="K11" s="126">
        <f>Dean_HE!K18</f>
        <v>41</v>
      </c>
      <c r="L11" s="978" t="s">
        <v>169</v>
      </c>
      <c r="M11" s="126">
        <f>Dean_HE!M18</f>
        <v>48</v>
      </c>
      <c r="N11" s="978" t="s">
        <v>169</v>
      </c>
      <c r="O11" s="811">
        <f>Dean_HE!O18</f>
        <v>95</v>
      </c>
      <c r="P11" s="111">
        <v>35</v>
      </c>
      <c r="Q11" s="1247">
        <f>Dean_HE!Q18</f>
        <v>122</v>
      </c>
      <c r="R11" s="111">
        <v>53</v>
      </c>
      <c r="S11" s="1247">
        <f>Dean_HE!S18</f>
        <v>125</v>
      </c>
      <c r="T11" s="205">
        <v>61</v>
      </c>
      <c r="U11" s="1247">
        <f>Dean_HE!U18</f>
        <v>114</v>
      </c>
      <c r="V11" s="205">
        <v>46</v>
      </c>
      <c r="W11" s="1247">
        <f>Dean_HE!W18</f>
        <v>112</v>
      </c>
      <c r="X11" s="205">
        <v>50</v>
      </c>
      <c r="Y11" s="811">
        <f>Dean_HE!Y18</f>
        <v>137</v>
      </c>
      <c r="Z11" s="1016"/>
      <c r="AA11" s="766"/>
      <c r="AB11" s="763">
        <f t="shared" si="1"/>
        <v>122</v>
      </c>
      <c r="AC11" s="675"/>
    </row>
    <row r="12" spans="1:32" s="95" customFormat="1" ht="12" x14ac:dyDescent="0.2">
      <c r="B12" s="96" t="s">
        <v>136</v>
      </c>
      <c r="C12" s="98">
        <f>ATID!C14+FSHS!C14+HMD!C19+'Human Nutrition'!C12</f>
        <v>161</v>
      </c>
      <c r="D12" s="102">
        <f>ATID!D14+ATID!D15+HMD!D19+'Human Nutrition'!D12+FSHS!D14</f>
        <v>52</v>
      </c>
      <c r="E12" s="98">
        <f>ATID!E14+FSHS!E14+HMD!E19+'Human Nutrition'!E12</f>
        <v>204</v>
      </c>
      <c r="F12" s="102" t="e">
        <f>ATID!F14+ATID!F15+HMD!F19+'Human Nutrition'!F12+'Human Nutrition'!#REF!+FSHS!F14</f>
        <v>#REF!</v>
      </c>
      <c r="G12" s="98">
        <f>ATID!G14+FSHS!G14+HMD!G19+'Human Nutrition'!G12</f>
        <v>228</v>
      </c>
      <c r="H12" s="102" t="e">
        <f>ATID!H14+ATID!H15+HMD!H19+'Human Nutrition'!H12+FSHS!H14+'Human Nutrition'!#REF!</f>
        <v>#REF!</v>
      </c>
      <c r="I12" s="98">
        <f>ATID!I14+FSHS!I14+HMD!I19+'Human Nutrition'!I12</f>
        <v>214</v>
      </c>
      <c r="J12" s="102">
        <f>ATID!J14+ATID!J15+HMD!J19+'Human Nutrition'!J12+FSHS!J14+Dean_HE!J20</f>
        <v>57</v>
      </c>
      <c r="K12" s="98">
        <f>Dean_HE!K20+Dean_HE!K23+ATID!K14+ATID!K15+HMD!K14+HMD!K19+'Human Nutrition'!K12+FSHS!K14</f>
        <v>231</v>
      </c>
      <c r="L12" s="102">
        <f>Dean_HE!L20+ATID!L14+ATID!L15+FSHS!L14+HMD!L14+HMD!L19+'Human Nutrition'!L12</f>
        <v>64</v>
      </c>
      <c r="M12" s="98">
        <f>Dean_HE!M20+Dean_HE!M23+ATID!M14+ATID!M15+HMD!M14+HMD!M19+'Human Nutrition'!M12+FSHS!M14</f>
        <v>286</v>
      </c>
      <c r="N12" s="102">
        <f>Dean_HE!N20+ATID!N14+ATID!N15+FSHS!N14+HMD!N14+HMD!N19+'Human Nutrition'!N12</f>
        <v>71</v>
      </c>
      <c r="O12" s="98">
        <f>Dean_HE!O20+Dean_HE!O23+ATID!O14+ATID!O15+HMD!O14+HMD!O19+'Human Nutrition'!O12+FSHS!O14</f>
        <v>240</v>
      </c>
      <c r="P12" s="102">
        <f>Dean_HE!P20+ATID!P14+ATID!P15+FSHS!P14+HMD!P14+HMD!P19+'Human Nutrition'!P12</f>
        <v>64</v>
      </c>
      <c r="Q12" s="98">
        <f>Dean_HE!Q20+Dean_HE!Q23+ATID!Q14+ATID!Q15+HMD!Q14+HMD!Q19+'Human Nutrition'!Q12+FSHS!Q14</f>
        <v>276</v>
      </c>
      <c r="R12" s="102">
        <f>Dean_HE!R20+ATID!R14+ATID!R15+FSHS!R14+HMD!R14+HMD!R19+'Human Nutrition'!R12</f>
        <v>79</v>
      </c>
      <c r="S12" s="98">
        <f>Dean_HE!S20+Dean_HE!S23+ATID!S14+ATID!S15+HMD!S14+HMD!S19+'Human Nutrition'!S12+FSHS!S14</f>
        <v>284</v>
      </c>
      <c r="T12" s="102">
        <f>Dean_HE!T20+ATID!T14+ATID!T15+FSHS!T14+HMD!T14+HMD!T19+'Human Nutrition'!T12</f>
        <v>74</v>
      </c>
      <c r="U12" s="98">
        <f>Dean_HE!U20+Dean_HE!U23+ATID!U14+ATID!U15+HMD!U14+HMD!U19+'Human Nutrition'!U12+FSHS!U14</f>
        <v>277</v>
      </c>
      <c r="V12" s="102">
        <f>Dean_HE!V20+ATID!V14+ATID!V15+FSHS!V14+HMD!V14+HMD!V19+'Human Nutrition'!V12</f>
        <v>78</v>
      </c>
      <c r="W12" s="1186">
        <f>Dean_HE!W20+Dean_HE!W23+ATID!W14+ATID!W15+HMD!W14+HMD!W19+'Human Nutrition'!W12+FSHS!W14+Kinesiology!W14+FSHS!W23</f>
        <v>292</v>
      </c>
      <c r="X12" s="102">
        <f>Dean_HE!X20+ATID!X14+ATID!X15+FSHS!X14+HMD!X14+HMD!X19+'Human Nutrition'!X12+Kinesiology!X14</f>
        <v>98</v>
      </c>
      <c r="Y12" s="1186">
        <f>Dean_HE!Y20+Dean_HE!Y23+ATID!Y14+ATID!Y15+HMD!Y14+HMD!Y19+'Human Nutrition'!Y12+FSHS!Y14+Kinesiology!Y14+FSHS!Y23</f>
        <v>292</v>
      </c>
      <c r="Z12" s="1025"/>
      <c r="AA12" s="766"/>
      <c r="AB12" s="763">
        <f t="shared" si="1"/>
        <v>284.2</v>
      </c>
      <c r="AC12" s="675">
        <f t="shared" ref="AC12:AC15" si="2">AVERAGE(X12,V12,T12,R12,Z12)</f>
        <v>82.25</v>
      </c>
    </row>
    <row r="13" spans="1:32" s="95" customFormat="1" ht="12" x14ac:dyDescent="0.2">
      <c r="B13" s="96" t="s">
        <v>55</v>
      </c>
      <c r="C13" s="98">
        <f>Dean_HE!C14+'Human Nutrition'!C13</f>
        <v>76</v>
      </c>
      <c r="D13" s="102">
        <f>Dean_HE!D14+'Human Nutrition'!D13</f>
        <v>13</v>
      </c>
      <c r="E13" s="98">
        <f>Dean_HE!E14+'Human Nutrition'!E13</f>
        <v>85</v>
      </c>
      <c r="F13" s="102">
        <f>Dean_HE!F14+'Human Nutrition'!F13</f>
        <v>16</v>
      </c>
      <c r="G13" s="98">
        <f>Dean_HE!G14+'Human Nutrition'!G13</f>
        <v>83</v>
      </c>
      <c r="H13" s="102">
        <f>Dean_HE!H14+'Human Nutrition'!H13</f>
        <v>13</v>
      </c>
      <c r="I13" s="98">
        <f>Dean_HE!I14+'Human Nutrition'!I13</f>
        <v>84</v>
      </c>
      <c r="J13" s="102">
        <f>Dean_HE!J14+'Human Nutrition'!J13</f>
        <v>11</v>
      </c>
      <c r="K13" s="98">
        <f>Dean_HE!K14+'Human Nutrition'!K13</f>
        <v>83</v>
      </c>
      <c r="L13" s="262">
        <f>Dean_HE!L14+'Human Nutrition'!L13</f>
        <v>18</v>
      </c>
      <c r="M13" s="68">
        <f>Dean_HE!M14+'Human Nutrition'!M13</f>
        <v>81</v>
      </c>
      <c r="N13" s="102">
        <f>Dean_HE!N14+'Human Nutrition'!N13</f>
        <v>14</v>
      </c>
      <c r="O13" s="98">
        <f>Dean_HE!O14+'Human Nutrition'!O13</f>
        <v>91</v>
      </c>
      <c r="P13" s="102">
        <f>Dean_HE!P14+'Human Nutrition'!P13</f>
        <v>13</v>
      </c>
      <c r="Q13" s="98">
        <f>Dean_HE!Q14+'Human Nutrition'!Q13</f>
        <v>93</v>
      </c>
      <c r="R13" s="102">
        <f>Dean_HE!R14+'Human Nutrition'!R13</f>
        <v>13</v>
      </c>
      <c r="S13" s="98">
        <f>Dean_HE!S14+'Human Nutrition'!S13</f>
        <v>107</v>
      </c>
      <c r="T13" s="102">
        <f>Dean_HE!T14+'Human Nutrition'!T13</f>
        <v>25</v>
      </c>
      <c r="U13" s="98">
        <f>Dean_HE!U14+'Human Nutrition'!U13</f>
        <v>99</v>
      </c>
      <c r="V13" s="102">
        <f>Dean_HE!V14+'Human Nutrition'!V13</f>
        <v>14</v>
      </c>
      <c r="W13" s="98">
        <f>Dean_HE!W14+'Human Nutrition'!W13</f>
        <v>112</v>
      </c>
      <c r="X13" s="102">
        <f>Dean_HE!X14+'Human Nutrition'!X13</f>
        <v>19</v>
      </c>
      <c r="Y13" s="98">
        <f>Dean_HE!Y14+'Human Nutrition'!Y13</f>
        <v>115</v>
      </c>
      <c r="Z13" s="1025"/>
      <c r="AA13" s="766"/>
      <c r="AB13" s="763">
        <f t="shared" si="1"/>
        <v>105.2</v>
      </c>
      <c r="AC13" s="675">
        <f t="shared" si="2"/>
        <v>17.75</v>
      </c>
      <c r="AF13" s="95" t="s">
        <v>19</v>
      </c>
    </row>
    <row r="14" spans="1:32" s="95" customFormat="1" ht="12" x14ac:dyDescent="0.2">
      <c r="B14" s="121" t="s">
        <v>99</v>
      </c>
      <c r="C14" s="479"/>
      <c r="D14" s="514"/>
      <c r="E14" s="479"/>
      <c r="F14" s="514"/>
      <c r="G14" s="206">
        <v>0</v>
      </c>
      <c r="H14" s="348">
        <v>0</v>
      </c>
      <c r="I14" s="206">
        <v>0</v>
      </c>
      <c r="J14" s="348">
        <v>0</v>
      </c>
      <c r="K14" s="206">
        <v>0</v>
      </c>
      <c r="L14" s="520">
        <f>FSHS!L30</f>
        <v>2</v>
      </c>
      <c r="M14" s="110">
        <f>FSHS!M30</f>
        <v>1</v>
      </c>
      <c r="N14" s="348">
        <f>FSHS!N30</f>
        <v>9</v>
      </c>
      <c r="O14" s="206">
        <f>FSHS!O30</f>
        <v>21</v>
      </c>
      <c r="P14" s="348">
        <f>FSHS!P30</f>
        <v>27</v>
      </c>
      <c r="Q14" s="206">
        <f>FSHS!Q30</f>
        <v>16</v>
      </c>
      <c r="R14" s="348">
        <f>FSHS!R30</f>
        <v>16</v>
      </c>
      <c r="S14" s="206">
        <f>FSHS!S30</f>
        <v>24</v>
      </c>
      <c r="T14" s="348">
        <f>FSHS!T30</f>
        <v>18</v>
      </c>
      <c r="U14" s="206">
        <f>FSHS!U30</f>
        <v>24</v>
      </c>
      <c r="V14" s="348">
        <f>FSHS!V30</f>
        <v>26</v>
      </c>
      <c r="W14" s="206">
        <f>FSHS!W30</f>
        <v>17</v>
      </c>
      <c r="X14" s="348">
        <f>FSHS!X30</f>
        <v>19</v>
      </c>
      <c r="Y14" s="206">
        <f>FSHS!Y30</f>
        <v>22</v>
      </c>
      <c r="Z14" s="1029"/>
      <c r="AA14" s="766"/>
      <c r="AB14" s="763">
        <f t="shared" si="1"/>
        <v>20.6</v>
      </c>
      <c r="AC14" s="675">
        <f t="shared" si="2"/>
        <v>19.75</v>
      </c>
    </row>
    <row r="15" spans="1:32" s="95" customFormat="1" thickBot="1" x14ac:dyDescent="0.25">
      <c r="B15" s="109" t="s">
        <v>56</v>
      </c>
      <c r="C15" s="69">
        <f>Dean_HE!C19+FSHS!C15+FSHS!C16+FSHS!C18</f>
        <v>1</v>
      </c>
      <c r="D15" s="112">
        <f>Dean_HE!D19+FSHS!D15+FSHS!D16+FSHS!D18</f>
        <v>11</v>
      </c>
      <c r="E15" s="69">
        <f>Dean_HE!E19+FSHS!E15+FSHS!E16+FSHS!E18</f>
        <v>0</v>
      </c>
      <c r="F15" s="112">
        <f>Dean_HE!F19+FSHS!F15+FSHS!F16+FSHS!F18</f>
        <v>13</v>
      </c>
      <c r="G15" s="69">
        <f>Dean_HE!G19+FSHS!G15+FSHS!G16+FSHS!G18</f>
        <v>0</v>
      </c>
      <c r="H15" s="112">
        <f>Dean_HE!H19+FSHS!H15+FSHS!H16+FSHS!H18</f>
        <v>18</v>
      </c>
      <c r="I15" s="69">
        <f>Dean_HE!I19+FSHS!I15+FSHS!I16+FSHS!I18</f>
        <v>5</v>
      </c>
      <c r="J15" s="112">
        <f>Dean_HE!J19+FSHS!J15+FSHS!J16+FSHS!J18</f>
        <v>11</v>
      </c>
      <c r="K15" s="69">
        <f>Dean_HE!K19+FSHS!K15+FSHS!K16+FSHS!K18</f>
        <v>9</v>
      </c>
      <c r="L15" s="521">
        <f>Dean_HE!L19+FSHS!L15+FSHS!L16+FSHS!L18</f>
        <v>22</v>
      </c>
      <c r="M15" s="69">
        <f>Dean_HE!M19+FSHS!M18+FSHS!M15+FSHS!M16</f>
        <v>9</v>
      </c>
      <c r="N15" s="112">
        <f>Dean_HE!N19+FSHS!N15+FSHS!N16+FSHS!N18</f>
        <v>33</v>
      </c>
      <c r="O15" s="793">
        <f>Dean_HE!O19+FSHS!O18+FSHS!O15+FSHS!O16+FSHS!O31</f>
        <v>29</v>
      </c>
      <c r="P15" s="112">
        <f>Dean_HE!P19+FSHS!P15+FSHS!P16+FSHS!P18</f>
        <v>27</v>
      </c>
      <c r="Q15" s="793">
        <f>Dean_HE!Q19+FSHS!Q18+FSHS!Q15+FSHS!Q16+FSHS!Q31</f>
        <v>34</v>
      </c>
      <c r="R15" s="112">
        <f>Dean_HE!R19+FSHS!R15+FSHS!R16+FSHS!R18+FSHS!R31</f>
        <v>30</v>
      </c>
      <c r="S15" s="793">
        <f>Dean_HE!S19+FSHS!S18+FSHS!S15+FSHS!S16+FSHS!S31</f>
        <v>43</v>
      </c>
      <c r="T15" s="112">
        <f>Dean_HE!T19+FSHS!T15+FSHS!T16+FSHS!T18+FSHS!T31</f>
        <v>28</v>
      </c>
      <c r="U15" s="793">
        <f>Dean_HE!U19+FSHS!U18+FSHS!U15+FSHS!U16+FSHS!U31</f>
        <v>39</v>
      </c>
      <c r="V15" s="112">
        <f>Dean_HE!V19+FSHS!V15+FSHS!V16+FSHS!V18+FSHS!V31</f>
        <v>29</v>
      </c>
      <c r="W15" s="793">
        <f>Dean_HE!W19+FSHS!W18+FSHS!W15+FSHS!W16+FSHS!W31</f>
        <v>39</v>
      </c>
      <c r="X15" s="112">
        <f>Dean_HE!X19+FSHS!X15+FSHS!X16+FSHS!X18+FSHS!X31</f>
        <v>29</v>
      </c>
      <c r="Y15" s="793">
        <f>Dean_HE!Y19+FSHS!Y18+FSHS!Y15+FSHS!Y16+FSHS!Y31+FSHS!Y19</f>
        <v>34</v>
      </c>
      <c r="Z15" s="1030"/>
      <c r="AA15" s="766"/>
      <c r="AB15" s="866">
        <f t="shared" si="1"/>
        <v>37.799999999999997</v>
      </c>
      <c r="AC15" s="675">
        <f t="shared" si="2"/>
        <v>29</v>
      </c>
    </row>
    <row r="16" spans="1:32" s="95" customFormat="1" thickTop="1" x14ac:dyDescent="0.2">
      <c r="B16" s="434" t="s">
        <v>102</v>
      </c>
      <c r="C16" s="290"/>
      <c r="D16" s="291"/>
      <c r="E16" s="290"/>
      <c r="F16" s="291"/>
      <c r="G16" s="290"/>
      <c r="H16" s="291"/>
      <c r="I16" s="290"/>
      <c r="J16" s="291"/>
      <c r="K16" s="290"/>
      <c r="L16" s="291"/>
      <c r="M16" s="290"/>
      <c r="N16" s="291"/>
      <c r="O16" s="822"/>
      <c r="P16" s="291"/>
      <c r="Q16" s="822"/>
      <c r="R16" s="291"/>
      <c r="S16" s="822"/>
      <c r="T16" s="291"/>
      <c r="U16" s="822"/>
      <c r="V16" s="291"/>
      <c r="W16" s="822"/>
      <c r="X16" s="291"/>
      <c r="Y16" s="822"/>
      <c r="Z16" s="291"/>
      <c r="AB16" s="747"/>
      <c r="AC16" s="747"/>
    </row>
    <row r="17" spans="1:31" s="95" customFormat="1" thickBot="1" x14ac:dyDescent="0.25">
      <c r="B17" s="95" t="s">
        <v>202</v>
      </c>
      <c r="C17" s="435"/>
      <c r="E17" s="435"/>
      <c r="G17" s="435"/>
      <c r="I17" s="435"/>
      <c r="K17" s="435"/>
      <c r="M17" s="435"/>
      <c r="O17" s="435"/>
      <c r="Q17" s="435"/>
      <c r="S17" s="435"/>
      <c r="U17" s="435"/>
      <c r="W17" s="435"/>
      <c r="Y17" s="435"/>
      <c r="AB17" s="1" t="s">
        <v>19</v>
      </c>
      <c r="AC17" s="1"/>
    </row>
    <row r="18" spans="1:31" s="95" customFormat="1" ht="14.25" thickTop="1" thickBot="1" x14ac:dyDescent="0.25">
      <c r="B18" s="436"/>
      <c r="C18" s="1286" t="s">
        <v>27</v>
      </c>
      <c r="D18" s="1255"/>
      <c r="E18" s="1286" t="s">
        <v>28</v>
      </c>
      <c r="F18" s="1255"/>
      <c r="G18" s="1254" t="s">
        <v>83</v>
      </c>
      <c r="H18" s="1255"/>
      <c r="I18" s="1286" t="s">
        <v>93</v>
      </c>
      <c r="J18" s="1254"/>
      <c r="K18" s="1286" t="s">
        <v>94</v>
      </c>
      <c r="L18" s="1254"/>
      <c r="M18" s="1286" t="s">
        <v>100</v>
      </c>
      <c r="N18" s="1255"/>
      <c r="O18" s="1254" t="s">
        <v>143</v>
      </c>
      <c r="P18" s="1255"/>
      <c r="Q18" s="1254" t="s">
        <v>149</v>
      </c>
      <c r="R18" s="1255"/>
      <c r="S18" s="1254" t="s">
        <v>167</v>
      </c>
      <c r="T18" s="1255"/>
      <c r="U18" s="1254" t="s">
        <v>181</v>
      </c>
      <c r="V18" s="1255"/>
      <c r="W18" s="1254" t="s">
        <v>194</v>
      </c>
      <c r="X18" s="1255"/>
      <c r="Y18" s="1254" t="s">
        <v>203</v>
      </c>
      <c r="Z18" s="1255"/>
      <c r="AB18" s="1259" t="s">
        <v>133</v>
      </c>
      <c r="AC18" s="1260"/>
      <c r="AE18" s="95" t="s">
        <v>19</v>
      </c>
    </row>
    <row r="19" spans="1:31" s="95" customFormat="1" ht="12" x14ac:dyDescent="0.2">
      <c r="B19" s="836" t="s">
        <v>8</v>
      </c>
      <c r="C19" s="229"/>
      <c r="D19" s="326"/>
      <c r="E19" s="229"/>
      <c r="F19" s="326"/>
      <c r="G19" s="301"/>
      <c r="H19" s="301"/>
      <c r="I19" s="229"/>
      <c r="J19" s="301"/>
      <c r="K19" s="229"/>
      <c r="L19" s="301"/>
      <c r="M19" s="229"/>
      <c r="N19" s="326"/>
      <c r="O19" s="301"/>
      <c r="P19" s="326"/>
      <c r="Q19" s="301"/>
      <c r="R19" s="326"/>
      <c r="S19" s="301"/>
      <c r="T19" s="326"/>
      <c r="U19" s="301"/>
      <c r="V19" s="326"/>
      <c r="W19" s="301"/>
      <c r="X19" s="326"/>
      <c r="Y19" s="301"/>
      <c r="Z19" s="326"/>
      <c r="AB19" s="639"/>
      <c r="AC19" s="638"/>
    </row>
    <row r="20" spans="1:31" s="95" customFormat="1" ht="12" x14ac:dyDescent="0.2">
      <c r="B20" s="840" t="s">
        <v>9</v>
      </c>
      <c r="C20" s="209"/>
      <c r="D20" s="313"/>
      <c r="E20" s="209"/>
      <c r="F20" s="313"/>
      <c r="G20" s="284"/>
      <c r="H20" s="284"/>
      <c r="I20" s="209"/>
      <c r="J20" s="284"/>
      <c r="K20" s="209"/>
      <c r="L20" s="284"/>
      <c r="M20" s="209"/>
      <c r="N20" s="313"/>
      <c r="O20" s="284"/>
      <c r="P20" s="313"/>
      <c r="Q20" s="284"/>
      <c r="R20" s="313"/>
      <c r="S20" s="284"/>
      <c r="T20" s="313"/>
      <c r="U20" s="284"/>
      <c r="V20" s="313"/>
      <c r="W20" s="284"/>
      <c r="X20" s="313"/>
      <c r="Y20" s="284"/>
      <c r="Z20" s="313"/>
      <c r="AB20" s="523"/>
      <c r="AC20" s="272"/>
    </row>
    <row r="21" spans="1:31" s="95" customFormat="1" ht="12" x14ac:dyDescent="0.2">
      <c r="B21" s="840" t="s">
        <v>10</v>
      </c>
      <c r="C21" s="292"/>
      <c r="D21" s="212">
        <f>Dean_HE!D29+ATID!D23+FSHS!D40+HMD!D25+'Human Nutrition'!D25</f>
        <v>12223</v>
      </c>
      <c r="E21" s="284"/>
      <c r="F21" s="212">
        <f>Dean_HE!F29+ATID!F23+FSHS!F40+HMD!F25+'Human Nutrition'!F25</f>
        <v>10592</v>
      </c>
      <c r="G21" s="284"/>
      <c r="H21" s="212">
        <f>Dean_HE!H29+ATID!H23+FSHS!H40+HMD!H25+'Human Nutrition'!H24</f>
        <v>10168</v>
      </c>
      <c r="I21" s="284"/>
      <c r="J21" s="212">
        <f>Dean_HE!J29+ATID!J23+FSHS!J40+HMD!J25+'Human Nutrition'!J24</f>
        <v>10739</v>
      </c>
      <c r="K21" s="284"/>
      <c r="L21" s="211">
        <f>Dean_HE!L29+ATID!L23+FSHS!L40+HMD!L25+'Human Nutrition'!L24</f>
        <v>11154</v>
      </c>
      <c r="M21" s="209"/>
      <c r="N21" s="212">
        <f>Dean_HE!N29+ATID!N23+FSHS!N40+HMD!N25+'Human Nutrition'!N24</f>
        <v>11042</v>
      </c>
      <c r="O21" s="284"/>
      <c r="P21" s="212">
        <f>Dean_HE!P29+ATID!P23+FSHS!P40+HMD!P25+'Human Nutrition'!P24</f>
        <v>11512</v>
      </c>
      <c r="Q21" s="284"/>
      <c r="R21" s="212">
        <f>Dean_HE!R29+ATID!R23+FSHS!R40+HMD!R25+'Human Nutrition'!R24</f>
        <v>11560</v>
      </c>
      <c r="S21" s="284"/>
      <c r="T21" s="212">
        <f>Dean_HE!T29+ATID!T23+FSHS!T40+HMD!T25+'Human Nutrition'!T24</f>
        <v>11375</v>
      </c>
      <c r="U21" s="284"/>
      <c r="V21" s="212">
        <f>Dean_HE!V29+ATID!V23+FSHS!V40+HMD!V25+'Human Nutrition'!V24</f>
        <v>12236</v>
      </c>
      <c r="W21" s="284"/>
      <c r="X21" s="212">
        <f>Dean_HE!X29+ATID!X23+FSHS!X40+HMD!X25+'Human Nutrition'!X24+Kinesiology!X23</f>
        <v>16185</v>
      </c>
      <c r="Y21" s="284"/>
      <c r="Z21" s="1019"/>
      <c r="AB21" s="614"/>
      <c r="AC21" s="650">
        <f t="shared" ref="AC21:AC25" si="3">AVERAGE(X21,V21,T21,R21,Z21)</f>
        <v>12839</v>
      </c>
    </row>
    <row r="22" spans="1:31" s="95" customFormat="1" ht="12" x14ac:dyDescent="0.2">
      <c r="B22" s="840" t="s">
        <v>11</v>
      </c>
      <c r="C22" s="292"/>
      <c r="D22" s="212">
        <f>Dean_HE!D30+ATID!D24+FSHS!D41+HMD!D26+'Human Nutrition'!D26</f>
        <v>19688</v>
      </c>
      <c r="E22" s="284"/>
      <c r="F22" s="212">
        <f>Dean_HE!F30+ATID!F24+FSHS!F41+HMD!F26+'Human Nutrition'!F26</f>
        <v>22815</v>
      </c>
      <c r="G22" s="284"/>
      <c r="H22" s="212">
        <f>Dean_HE!H30+ATID!H24+FSHS!H41+HMD!H26+'Human Nutrition'!H25</f>
        <v>25154</v>
      </c>
      <c r="I22" s="284"/>
      <c r="J22" s="212">
        <f>Dean_HE!J30+ATID!J24+FSHS!J41+HMD!J26+'Human Nutrition'!J25</f>
        <v>26408</v>
      </c>
      <c r="K22" s="284"/>
      <c r="L22" s="211">
        <f>Dean_HE!L30+ATID!L24+FSHS!L41+HMD!L26+'Human Nutrition'!L25</f>
        <v>26078</v>
      </c>
      <c r="M22" s="209"/>
      <c r="N22" s="212">
        <f>Dean_HE!N30+ATID!N24+FSHS!N41+HMD!N26+'Human Nutrition'!N25</f>
        <v>25016</v>
      </c>
      <c r="O22" s="284"/>
      <c r="P22" s="212">
        <f>Dean_HE!P30+ATID!P24+FSHS!P41+HMD!P26+'Human Nutrition'!P25</f>
        <v>27373</v>
      </c>
      <c r="Q22" s="284"/>
      <c r="R22" s="212">
        <f>Dean_HE!R30+ATID!R24+FSHS!R41+HMD!R26+'Human Nutrition'!R25</f>
        <v>28527</v>
      </c>
      <c r="S22" s="284"/>
      <c r="T22" s="212">
        <f>Dean_HE!T30+ATID!T24+FSHS!T41+HMD!T26+'Human Nutrition'!T25</f>
        <v>30366</v>
      </c>
      <c r="U22" s="284"/>
      <c r="V22" s="212">
        <f>Dean_HE!V30+ATID!V24+FSHS!V41+HMD!V26+'Human Nutrition'!V25</f>
        <v>30839</v>
      </c>
      <c r="W22" s="284"/>
      <c r="X22" s="212">
        <f>Dean_HE!X30+ATID!X24+FSHS!X41+HMD!X26+'Human Nutrition'!X25+Kinesiology!X24</f>
        <v>36622</v>
      </c>
      <c r="Y22" s="284"/>
      <c r="Z22" s="1019"/>
      <c r="AB22" s="636"/>
      <c r="AC22" s="650">
        <f t="shared" si="3"/>
        <v>31588.5</v>
      </c>
    </row>
    <row r="23" spans="1:31" s="95" customFormat="1" ht="12" x14ac:dyDescent="0.2">
      <c r="B23" s="840" t="s">
        <v>12</v>
      </c>
      <c r="C23" s="292"/>
      <c r="D23" s="212">
        <f>Dean_HE!D31+ATID!D25+FSHS!D42+HMD!D27+'Human Nutrition'!D27</f>
        <v>2934</v>
      </c>
      <c r="E23" s="284"/>
      <c r="F23" s="212">
        <f>Dean_HE!F31+ATID!F25+FSHS!F42+HMD!F27+'Human Nutrition'!F27</f>
        <v>3792</v>
      </c>
      <c r="G23" s="284"/>
      <c r="H23" s="212">
        <f>Dean_HE!H31+ATID!H25+FSHS!H42+HMD!H27+'Human Nutrition'!H26</f>
        <v>4262</v>
      </c>
      <c r="I23" s="284"/>
      <c r="J23" s="212">
        <f>Dean_HE!J31+ATID!J25+FSHS!J42+HMD!J27+'Human Nutrition'!J26</f>
        <v>4438</v>
      </c>
      <c r="K23" s="284"/>
      <c r="L23" s="211">
        <f>Dean_HE!L31+ATID!L25+FSHS!L42+HMD!L27+'Human Nutrition'!L26</f>
        <v>4437</v>
      </c>
      <c r="M23" s="209"/>
      <c r="N23" s="212">
        <f>Dean_HE!N31+ATID!N25+FSHS!N42+HMD!N27+'Human Nutrition'!N26</f>
        <v>4740</v>
      </c>
      <c r="O23" s="284"/>
      <c r="P23" s="212">
        <f>Dean_HE!P31+ATID!P25+FSHS!P42+HMD!P27+'Human Nutrition'!P26</f>
        <v>4640</v>
      </c>
      <c r="Q23" s="284"/>
      <c r="R23" s="212">
        <f>Dean_HE!R31+ATID!R25+FSHS!R42+HMD!R27+'Human Nutrition'!R26</f>
        <v>5066</v>
      </c>
      <c r="S23" s="284"/>
      <c r="T23" s="212">
        <f>Dean_HE!T31+ATID!T25+FSHS!T42+HMD!T27+'Human Nutrition'!T26</f>
        <v>5208</v>
      </c>
      <c r="U23" s="284"/>
      <c r="V23" s="212">
        <f>Dean_HE!V31+ATID!V25+FSHS!V42+HMD!V27+'Human Nutrition'!V26</f>
        <v>5203</v>
      </c>
      <c r="W23" s="284"/>
      <c r="X23" s="212">
        <f>Dean_HE!X31+ATID!X25+FSHS!X42+HMD!X27+'Human Nutrition'!X26+Kinesiology!X25</f>
        <v>5610</v>
      </c>
      <c r="Y23" s="284"/>
      <c r="Z23" s="1019"/>
      <c r="AB23" s="636"/>
      <c r="AC23" s="650">
        <f t="shared" si="3"/>
        <v>5271.75</v>
      </c>
    </row>
    <row r="24" spans="1:31" s="95" customFormat="1" ht="12" x14ac:dyDescent="0.2">
      <c r="B24" s="840" t="s">
        <v>13</v>
      </c>
      <c r="C24" s="292"/>
      <c r="D24" s="212">
        <f>Dean_HE!D32+ATID!D26+FSHS!D43+HMD!D28+'Human Nutrition'!D28</f>
        <v>837</v>
      </c>
      <c r="E24" s="284"/>
      <c r="F24" s="212">
        <f>Dean_HE!F32+ATID!F26+FSHS!F43+HMD!F28+'Human Nutrition'!F28</f>
        <v>949</v>
      </c>
      <c r="G24" s="284"/>
      <c r="H24" s="212">
        <f>Dean_HE!H32+ATID!H26+FSHS!H43+HMD!H28+'Human Nutrition'!H27</f>
        <v>1007</v>
      </c>
      <c r="I24" s="284"/>
      <c r="J24" s="212">
        <f>Dean_HE!J32+ATID!J26+FSHS!J43+HMD!J28+'Human Nutrition'!J27</f>
        <v>814</v>
      </c>
      <c r="K24" s="284"/>
      <c r="L24" s="211">
        <f>Dean_HE!L32+ATID!L26+FSHS!L43+HMD!L28+'Human Nutrition'!L27</f>
        <v>891</v>
      </c>
      <c r="M24" s="209"/>
      <c r="N24" s="212">
        <f>Dean_HE!N32+ATID!N26+FSHS!N43+HMD!N28+'Human Nutrition'!N27</f>
        <v>756</v>
      </c>
      <c r="O24" s="284"/>
      <c r="P24" s="212">
        <f>Dean_HE!P32+ATID!P26+FSHS!P43+HMD!P28+'Human Nutrition'!P27</f>
        <v>893</v>
      </c>
      <c r="Q24" s="284"/>
      <c r="R24" s="212">
        <f>Dean_HE!R32+ATID!R26+FSHS!R43+HMD!R28+'Human Nutrition'!R27</f>
        <v>906</v>
      </c>
      <c r="S24" s="284"/>
      <c r="T24" s="212">
        <f>Dean_HE!T32+ATID!T26+FSHS!T43+HMD!T28+'Human Nutrition'!T27</f>
        <v>1035</v>
      </c>
      <c r="U24" s="284"/>
      <c r="V24" s="212">
        <f>Dean_HE!V32+ATID!V26+FSHS!V43+HMD!V28+'Human Nutrition'!V27</f>
        <v>1036</v>
      </c>
      <c r="W24" s="284"/>
      <c r="X24" s="212">
        <f>Dean_HE!X32+ATID!X26+FSHS!X43+HMD!X28+'Human Nutrition'!X27+Kinesiology!X26</f>
        <v>1242</v>
      </c>
      <c r="Y24" s="284"/>
      <c r="Z24" s="1019"/>
      <c r="AB24" s="636"/>
      <c r="AC24" s="650">
        <f t="shared" si="3"/>
        <v>1054.75</v>
      </c>
    </row>
    <row r="25" spans="1:31" s="95" customFormat="1" thickBot="1" x14ac:dyDescent="0.25">
      <c r="B25" s="455" t="s">
        <v>14</v>
      </c>
      <c r="C25" s="437"/>
      <c r="D25" s="386">
        <f>SUM(D21:D24)</f>
        <v>35682</v>
      </c>
      <c r="E25" s="302"/>
      <c r="F25" s="386">
        <f>SUM(F21:F24)</f>
        <v>38148</v>
      </c>
      <c r="G25" s="438"/>
      <c r="H25" s="365">
        <f>SUM(H21:H24)</f>
        <v>40591</v>
      </c>
      <c r="I25" s="213"/>
      <c r="J25" s="386">
        <f>SUM(J21:J24)</f>
        <v>42399</v>
      </c>
      <c r="K25" s="302"/>
      <c r="L25" s="365">
        <f>SUM(L21:L24)</f>
        <v>42560</v>
      </c>
      <c r="M25" s="213"/>
      <c r="N25" s="386">
        <f>SUM(N21:N24)</f>
        <v>41554</v>
      </c>
      <c r="O25" s="302"/>
      <c r="P25" s="386">
        <f>SUM(P21:P24)</f>
        <v>44418</v>
      </c>
      <c r="Q25" s="302"/>
      <c r="R25" s="386">
        <f>SUM(R21:R24)</f>
        <v>46059</v>
      </c>
      <c r="S25" s="302"/>
      <c r="T25" s="386">
        <f>SUM(T21:T24)</f>
        <v>47984</v>
      </c>
      <c r="U25" s="302"/>
      <c r="V25" s="386">
        <f>SUM(V21:V24)</f>
        <v>49314</v>
      </c>
      <c r="W25" s="302"/>
      <c r="X25" s="386">
        <f>Dean_HE!X33+ATID!X27+FSHS!X44+HMD!X29+'Human Nutrition'!X28+Kinesiology!X27</f>
        <v>59659</v>
      </c>
      <c r="Y25" s="302"/>
      <c r="Z25" s="1031"/>
      <c r="AB25" s="575"/>
      <c r="AC25" s="749">
        <f t="shared" si="3"/>
        <v>50754</v>
      </c>
    </row>
    <row r="26" spans="1:31" ht="14.25" thickTop="1" thickBot="1" x14ac:dyDescent="0.25">
      <c r="A26" s="272"/>
      <c r="B26" s="841" t="s">
        <v>124</v>
      </c>
      <c r="C26" s="1282" t="s">
        <v>29</v>
      </c>
      <c r="D26" s="1295"/>
      <c r="E26" s="1282" t="s">
        <v>30</v>
      </c>
      <c r="F26" s="1295"/>
      <c r="G26" s="1280" t="s">
        <v>120</v>
      </c>
      <c r="H26" s="1253"/>
      <c r="I26" s="1280" t="s">
        <v>121</v>
      </c>
      <c r="J26" s="1291"/>
      <c r="K26" s="1280" t="s">
        <v>122</v>
      </c>
      <c r="L26" s="1291"/>
      <c r="M26" s="1269" t="s">
        <v>123</v>
      </c>
      <c r="N26" s="1253"/>
      <c r="O26" s="1252" t="s">
        <v>144</v>
      </c>
      <c r="P26" s="1253"/>
      <c r="Q26" s="1252" t="s">
        <v>150</v>
      </c>
      <c r="R26" s="1253"/>
      <c r="S26" s="1252" t="s">
        <v>164</v>
      </c>
      <c r="T26" s="1253"/>
      <c r="U26" s="1252" t="s">
        <v>182</v>
      </c>
      <c r="V26" s="1253"/>
      <c r="W26" s="1252" t="s">
        <v>195</v>
      </c>
      <c r="X26" s="1253"/>
      <c r="Y26" s="1252" t="s">
        <v>204</v>
      </c>
      <c r="Z26" s="1253"/>
      <c r="AA26" s="536"/>
      <c r="AB26" s="1259" t="s">
        <v>133</v>
      </c>
      <c r="AC26" s="1260"/>
      <c r="AD26" s="283"/>
      <c r="AE26" s="283"/>
    </row>
    <row r="27" spans="1:31" x14ac:dyDescent="0.2">
      <c r="A27" s="272"/>
      <c r="B27" s="577" t="s">
        <v>107</v>
      </c>
      <c r="C27" s="1297">
        <v>0.45</v>
      </c>
      <c r="D27" s="1298"/>
      <c r="E27" s="1332">
        <v>0.57699999999999996</v>
      </c>
      <c r="F27" s="1333"/>
      <c r="G27" s="1287">
        <v>0.54500000000000004</v>
      </c>
      <c r="H27" s="1288"/>
      <c r="I27" s="1367">
        <v>0.63200000000000001</v>
      </c>
      <c r="J27" s="1288"/>
      <c r="K27" s="578"/>
      <c r="L27" s="579">
        <v>0.53</v>
      </c>
      <c r="M27" s="580"/>
      <c r="N27" s="796">
        <v>0.57799999999999996</v>
      </c>
      <c r="O27" s="794"/>
      <c r="P27" s="796">
        <v>0.55800000000000005</v>
      </c>
      <c r="Q27" s="895"/>
      <c r="R27" s="796">
        <v>0.61399999999999999</v>
      </c>
      <c r="S27" s="895"/>
      <c r="T27" s="796">
        <v>0.623</v>
      </c>
      <c r="U27" s="895"/>
      <c r="V27" s="796">
        <v>0.623</v>
      </c>
      <c r="W27" s="895"/>
      <c r="X27" s="796">
        <v>0.67900000000000005</v>
      </c>
      <c r="Y27" s="895"/>
      <c r="Z27" s="796">
        <v>0.67600000000000005</v>
      </c>
      <c r="AA27" s="844"/>
      <c r="AB27" s="651"/>
      <c r="AC27" s="581">
        <f>AVERAGE(X27,V27,T27,R27,Z27)</f>
        <v>0.64300000000000002</v>
      </c>
      <c r="AD27" s="283"/>
      <c r="AE27" s="283"/>
    </row>
    <row r="28" spans="1:31" x14ac:dyDescent="0.2">
      <c r="A28" s="272"/>
      <c r="B28" s="582" t="s">
        <v>108</v>
      </c>
      <c r="C28" s="1301">
        <v>6.7000000000000004E-2</v>
      </c>
      <c r="D28" s="1300"/>
      <c r="E28" s="1329">
        <v>9.4E-2</v>
      </c>
      <c r="F28" s="1330"/>
      <c r="G28" s="1276">
        <v>0.107</v>
      </c>
      <c r="H28" s="1277"/>
      <c r="I28" s="1366">
        <v>9.6000000000000002E-2</v>
      </c>
      <c r="J28" s="1277"/>
      <c r="K28" s="583"/>
      <c r="L28" s="584">
        <v>9.4E-2</v>
      </c>
      <c r="M28" s="583"/>
      <c r="N28" s="797">
        <v>0.111</v>
      </c>
      <c r="O28" s="795"/>
      <c r="P28" s="797">
        <v>8.3000000000000004E-2</v>
      </c>
      <c r="Q28" s="896"/>
      <c r="R28" s="797">
        <v>9.9000000000000005E-2</v>
      </c>
      <c r="S28" s="896"/>
      <c r="T28" s="797">
        <v>0.111</v>
      </c>
      <c r="U28" s="896"/>
      <c r="V28" s="797">
        <v>0.10199999999999999</v>
      </c>
      <c r="W28" s="896"/>
      <c r="X28" s="797">
        <v>8.6999999999999994E-2</v>
      </c>
      <c r="Y28" s="896"/>
      <c r="Z28" s="797">
        <v>0.09</v>
      </c>
      <c r="AA28" s="844"/>
      <c r="AB28" s="652"/>
      <c r="AC28" s="585">
        <f>AVERAGE(X28,V28,T28,R28,Z28)</f>
        <v>9.7799999999999998E-2</v>
      </c>
      <c r="AD28" s="283"/>
      <c r="AE28" s="283"/>
    </row>
    <row r="29" spans="1:31" ht="13.5" thickBot="1" x14ac:dyDescent="0.25">
      <c r="B29" s="586" t="s">
        <v>109</v>
      </c>
      <c r="C29" s="1257">
        <f>1-SUM(C27:D28)</f>
        <v>0.48299999999999998</v>
      </c>
      <c r="D29" s="1296"/>
      <c r="E29" s="1365">
        <v>0.32800000000000001</v>
      </c>
      <c r="F29" s="1346"/>
      <c r="G29" s="1257">
        <f>1-SUM(G27:H28)</f>
        <v>0.34799999999999998</v>
      </c>
      <c r="H29" s="1258"/>
      <c r="I29" s="1365">
        <f>1-SUM(I27:J28)</f>
        <v>0.27200000000000002</v>
      </c>
      <c r="J29" s="1346"/>
      <c r="K29" s="587"/>
      <c r="L29" s="590">
        <f>1-SUM(L27:L28)</f>
        <v>0.376</v>
      </c>
      <c r="M29" s="587"/>
      <c r="N29" s="590">
        <f>1-SUM(N27:N28)</f>
        <v>0.31100000000000005</v>
      </c>
      <c r="O29" s="802"/>
      <c r="P29" s="590">
        <f>1-SUM(P27:P28)</f>
        <v>0.35899999999999999</v>
      </c>
      <c r="Q29" s="897"/>
      <c r="R29" s="898">
        <f>1-R27-R28</f>
        <v>0.28700000000000003</v>
      </c>
      <c r="S29" s="897"/>
      <c r="T29" s="898">
        <f>1-T27-T28</f>
        <v>0.26600000000000001</v>
      </c>
      <c r="U29" s="897"/>
      <c r="V29" s="898">
        <f>1-V27-V28</f>
        <v>0.27500000000000002</v>
      </c>
      <c r="W29" s="897"/>
      <c r="X29" s="898">
        <f>1-X27-X28</f>
        <v>0.23399999999999996</v>
      </c>
      <c r="Y29" s="897"/>
      <c r="Z29" s="898">
        <f>1-Z27-Z28</f>
        <v>0.23399999999999996</v>
      </c>
      <c r="AA29" s="844"/>
      <c r="AB29" s="588"/>
      <c r="AC29" s="589">
        <f>AVERAGE(X29,V29,T29,R29,Z29)</f>
        <v>0.25919999999999999</v>
      </c>
      <c r="AD29" s="283"/>
      <c r="AE29" s="283"/>
    </row>
    <row r="30" spans="1:31" s="95" customFormat="1" thickTop="1" x14ac:dyDescent="0.2">
      <c r="B30" s="387"/>
      <c r="C30" s="235"/>
      <c r="D30" s="236"/>
      <c r="E30" s="235"/>
      <c r="F30" s="236"/>
      <c r="G30" s="235"/>
      <c r="H30" s="236"/>
      <c r="I30" s="235"/>
      <c r="J30" s="236"/>
      <c r="K30" s="235"/>
      <c r="L30" s="236"/>
      <c r="M30" s="235"/>
      <c r="N30" s="236"/>
      <c r="O30" s="235"/>
      <c r="P30" s="236"/>
      <c r="Q30" s="235"/>
      <c r="R30" s="236"/>
      <c r="S30" s="235"/>
      <c r="T30" s="236"/>
      <c r="U30" s="235"/>
      <c r="V30" s="236"/>
      <c r="W30" s="235"/>
      <c r="X30" s="236"/>
      <c r="Y30" s="235"/>
      <c r="Z30" s="236"/>
      <c r="AB30" s="1"/>
      <c r="AC30" s="1"/>
    </row>
    <row r="31" spans="1:31" x14ac:dyDescent="0.2">
      <c r="A31" s="86" t="s">
        <v>37</v>
      </c>
      <c r="B31" s="70"/>
      <c r="C31" s="4"/>
      <c r="D31" s="4"/>
      <c r="E31" s="4"/>
      <c r="F31" s="4"/>
      <c r="G31" s="4"/>
      <c r="H31" s="4"/>
      <c r="I31" s="202"/>
      <c r="J31" s="202"/>
      <c r="K31" s="202"/>
      <c r="L31" s="202"/>
      <c r="M31" s="202"/>
      <c r="N31" s="202"/>
      <c r="O31" s="202"/>
      <c r="P31" s="202" t="s">
        <v>19</v>
      </c>
      <c r="Q31" s="202"/>
      <c r="R31" s="202"/>
      <c r="S31" s="202"/>
      <c r="T31" s="202"/>
      <c r="U31" s="202"/>
      <c r="V31" s="202"/>
      <c r="W31" s="202"/>
      <c r="X31" s="202"/>
      <c r="Y31" s="202"/>
      <c r="Z31" s="202"/>
    </row>
    <row r="32" spans="1:31" ht="13.5" thickBot="1" x14ac:dyDescent="0.25">
      <c r="A32" s="86"/>
      <c r="B32" s="70"/>
      <c r="C32" s="4"/>
      <c r="D32" s="4"/>
      <c r="E32" s="4"/>
      <c r="F32" s="4"/>
      <c r="G32" s="4"/>
      <c r="H32" s="4"/>
      <c r="I32" s="202"/>
      <c r="J32" s="202"/>
      <c r="K32" s="202"/>
      <c r="L32" s="202"/>
      <c r="M32" s="202"/>
      <c r="N32" s="202"/>
      <c r="O32" s="202"/>
      <c r="P32" s="202"/>
      <c r="Q32" s="202"/>
      <c r="R32" s="202"/>
      <c r="S32" s="202"/>
      <c r="T32" s="202"/>
      <c r="U32" s="202"/>
      <c r="V32" s="202"/>
      <c r="W32" s="202"/>
      <c r="X32" s="202"/>
      <c r="Y32" s="202"/>
      <c r="Z32" s="202"/>
    </row>
    <row r="33" spans="1:29" ht="14.25" thickTop="1" thickBot="1" x14ac:dyDescent="0.25">
      <c r="A33" s="3"/>
      <c r="B33" s="400" t="s">
        <v>38</v>
      </c>
      <c r="C33" s="1292" t="s">
        <v>27</v>
      </c>
      <c r="D33" s="1293"/>
      <c r="E33" s="1292" t="s">
        <v>28</v>
      </c>
      <c r="F33" s="1293"/>
      <c r="G33" s="1292" t="s">
        <v>83</v>
      </c>
      <c r="H33" s="1293"/>
      <c r="I33" s="1286" t="s">
        <v>93</v>
      </c>
      <c r="J33" s="1254"/>
      <c r="K33" s="1286" t="s">
        <v>94</v>
      </c>
      <c r="L33" s="1254"/>
      <c r="M33" s="1286" t="s">
        <v>100</v>
      </c>
      <c r="N33" s="1255"/>
      <c r="O33" s="1254" t="s">
        <v>143</v>
      </c>
      <c r="P33" s="1255"/>
      <c r="Q33" s="1254" t="s">
        <v>149</v>
      </c>
      <c r="R33" s="1255"/>
      <c r="S33" s="1254" t="s">
        <v>167</v>
      </c>
      <c r="T33" s="1255"/>
      <c r="U33" s="1254" t="s">
        <v>181</v>
      </c>
      <c r="V33" s="1255"/>
      <c r="W33" s="1254" t="s">
        <v>194</v>
      </c>
      <c r="X33" s="1255"/>
      <c r="Y33" s="1254" t="s">
        <v>203</v>
      </c>
      <c r="Z33" s="1255"/>
      <c r="AB33" s="1263" t="s">
        <v>133</v>
      </c>
      <c r="AC33" s="1316"/>
    </row>
    <row r="34" spans="1:29" x14ac:dyDescent="0.2">
      <c r="A34" s="3"/>
      <c r="B34" s="860" t="s">
        <v>88</v>
      </c>
      <c r="C34" s="131"/>
      <c r="D34" s="132"/>
      <c r="E34" s="131"/>
      <c r="F34" s="132"/>
      <c r="G34" s="32"/>
      <c r="H34" s="32"/>
      <c r="I34" s="229"/>
      <c r="J34" s="301"/>
      <c r="K34" s="229"/>
      <c r="L34" s="301"/>
      <c r="M34" s="229"/>
      <c r="N34" s="326"/>
      <c r="O34" s="301"/>
      <c r="P34" s="326"/>
      <c r="Q34" s="301"/>
      <c r="R34" s="326"/>
      <c r="S34" s="301"/>
      <c r="T34" s="326"/>
      <c r="U34" s="301"/>
      <c r="V34" s="326"/>
      <c r="W34" s="301"/>
      <c r="X34" s="326"/>
      <c r="Y34" s="301"/>
      <c r="Z34" s="326"/>
      <c r="AB34" s="523"/>
      <c r="AC34" s="272"/>
    </row>
    <row r="35" spans="1:29" x14ac:dyDescent="0.2">
      <c r="A35" s="3"/>
      <c r="B35" s="402" t="s">
        <v>40</v>
      </c>
      <c r="C35" s="184"/>
      <c r="D35" s="133">
        <f>Dean_HE!D43+ATID!D37+FSHS!D54+HMD!D39+'Human Nutrition'!D40</f>
        <v>6228860</v>
      </c>
      <c r="E35" s="184"/>
      <c r="F35" s="133">
        <f>Dean_HE!F43+ATID!F37+FSHS!F54+HMD!F39+'Human Nutrition'!F40</f>
        <v>6747471</v>
      </c>
      <c r="G35" s="33"/>
      <c r="H35" s="33">
        <f>Dean_HE!H43+ATID!H37+FSHS!H54+HMD!H39+'Human Nutrition'!H38</f>
        <v>7018508</v>
      </c>
      <c r="I35" s="292"/>
      <c r="J35" s="33">
        <f>Dean_HE!J43+ATID!J37+FSHS!J54+HMD!J39+'Human Nutrition'!J38</f>
        <v>7305185</v>
      </c>
      <c r="K35" s="292"/>
      <c r="L35" s="504">
        <f>FSHS!L54+'Human Nutrition'!L38+HMD!L39+ATID!L37+Dean_HE!L43</f>
        <v>8080689</v>
      </c>
      <c r="M35" s="292"/>
      <c r="N35" s="503">
        <f>FSHS!N54+'Human Nutrition'!N38+HMD!N39+ATID!N37+Dean_HE!N43</f>
        <v>8411219</v>
      </c>
      <c r="O35" s="211"/>
      <c r="P35" s="503">
        <f>FSHS!P54+'Human Nutrition'!P38+HMD!P39+ATID!P37+Dean_HE!P43</f>
        <v>8157319</v>
      </c>
      <c r="Q35" s="211"/>
      <c r="R35" s="503">
        <f>FSHS!R54+'Human Nutrition'!R38+HMD!R39+ATID!R37+Dean_HE!R43</f>
        <v>8614803</v>
      </c>
      <c r="S35" s="211"/>
      <c r="T35" s="503">
        <f>FSHS!T54+'Human Nutrition'!T38+HMD!T39+ATID!T37+Dean_HE!T43</f>
        <v>8859418</v>
      </c>
      <c r="U35" s="211"/>
      <c r="V35" s="503">
        <f>FSHS!V54+'Human Nutrition'!V38+HMD!V39+ATID!V37+Dean_HE!V43</f>
        <v>9093582</v>
      </c>
      <c r="W35" s="211"/>
      <c r="X35" s="503">
        <f>FSHS!X54+'Human Nutrition'!X38+HMD!X39+ATID!X37+Dean_HE!X43+Kinesiology!X37</f>
        <v>10910314</v>
      </c>
      <c r="Y35" s="211"/>
      <c r="Z35" s="503">
        <f>FSHS!Z54+'Human Nutrition'!Z38+HMD!Z39+ATID!Z37+Dean_HE!Z43+Kinesiology!Z37</f>
        <v>12736686</v>
      </c>
      <c r="AB35" s="636"/>
      <c r="AC35" s="631">
        <f t="shared" ref="AC35:AC38" si="4">AVERAGE(X35,V35,T35,R35,Z35)</f>
        <v>10042960.6</v>
      </c>
    </row>
    <row r="36" spans="1:29" x14ac:dyDescent="0.2">
      <c r="A36" s="3"/>
      <c r="B36" s="402" t="s">
        <v>152</v>
      </c>
      <c r="C36" s="184"/>
      <c r="D36" s="133"/>
      <c r="E36" s="184"/>
      <c r="F36" s="133"/>
      <c r="G36" s="33"/>
      <c r="H36" s="33">
        <f>Dean_HE!H44+ATID!H38+FSHS!H55+HMD!H40+'Human Nutrition'!H39</f>
        <v>0</v>
      </c>
      <c r="I36" s="292"/>
      <c r="J36" s="33">
        <f>Dean_HE!J44+ATID!J38+FSHS!J55+HMD!J40+'Human Nutrition'!J39</f>
        <v>17646</v>
      </c>
      <c r="K36" s="292"/>
      <c r="L36" s="504">
        <f>FSHS!L55+'Human Nutrition'!L39+HMD!L40+ATID!L38+Dean_HE!L44</f>
        <v>18195</v>
      </c>
      <c r="M36" s="292"/>
      <c r="N36" s="503">
        <f>FSHS!N55+'Human Nutrition'!N39+HMD!N40+ATID!N38+Dean_HE!N44</f>
        <v>18691</v>
      </c>
      <c r="O36" s="211"/>
      <c r="P36" s="503">
        <f>FSHS!P55+'Human Nutrition'!P39+HMD!P40+ATID!P38+Dean_HE!P44</f>
        <v>18707</v>
      </c>
      <c r="Q36" s="211"/>
      <c r="R36" s="503">
        <f>FSHS!R55+'Human Nutrition'!R39+HMD!R40+ATID!R38+Dean_HE!R44</f>
        <v>18902</v>
      </c>
      <c r="S36" s="211"/>
      <c r="T36" s="503">
        <f>FSHS!T55+'Human Nutrition'!T39+HMD!T40+ATID!T38+Dean_HE!T44</f>
        <v>19075</v>
      </c>
      <c r="U36" s="211"/>
      <c r="V36" s="503">
        <f>FSHS!V55+'Human Nutrition'!V39+HMD!V40+ATID!V38+Dean_HE!V44</f>
        <v>19615</v>
      </c>
      <c r="W36" s="211"/>
      <c r="X36" s="503">
        <f>FSHS!X55+'Human Nutrition'!X39+HMD!X40+ATID!X38+Dean_HE!X44+Kinesiology!X38</f>
        <v>19726</v>
      </c>
      <c r="Y36" s="211"/>
      <c r="Z36" s="503">
        <f>FSHS!Z55+'Human Nutrition'!Z39+HMD!Z40+ATID!Z38+Dean_HE!Z44+Kinesiology!Z38</f>
        <v>20711</v>
      </c>
      <c r="AB36" s="636"/>
      <c r="AC36" s="631">
        <f t="shared" si="4"/>
        <v>19605.8</v>
      </c>
    </row>
    <row r="37" spans="1:29" ht="36" x14ac:dyDescent="0.2">
      <c r="A37" s="3"/>
      <c r="B37" s="403" t="s">
        <v>153</v>
      </c>
      <c r="C37" s="187"/>
      <c r="D37" s="137">
        <f>Dean_HE!D45+ATID!D39+FSHS!D56+HMD!D41+'Human Nutrition'!D41</f>
        <v>3064873</v>
      </c>
      <c r="E37" s="187"/>
      <c r="F37" s="137">
        <f>Dean_HE!F45+ATID!F39+FSHS!F56+HMD!F41+'Human Nutrition'!F41</f>
        <v>2779645</v>
      </c>
      <c r="G37" s="155"/>
      <c r="H37" s="137">
        <f>Dean_HE!H45+ATID!H39+FSHS!H56+HMD!H41+'Human Nutrition'!H40</f>
        <v>5014964</v>
      </c>
      <c r="I37" s="293"/>
      <c r="J37" s="137">
        <f>Dean_HE!J45+ATID!J39+FSHS!J56+HMD!J41+'Human Nutrition'!J40</f>
        <v>5146018</v>
      </c>
      <c r="K37" s="293"/>
      <c r="L37" s="504">
        <f>FSHS!L56+'Human Nutrition'!L40+HMD!L41+ATID!L39+Dean_HE!L45</f>
        <v>5371374</v>
      </c>
      <c r="M37" s="293"/>
      <c r="N37" s="503">
        <f>FSHS!N56+'Human Nutrition'!N40+HMD!N41+ATID!N39+Dean_HE!N45</f>
        <v>5395624</v>
      </c>
      <c r="O37" s="259"/>
      <c r="P37" s="503">
        <f>FSHS!P56+'Human Nutrition'!P40+HMD!P41+ATID!P39+Dean_HE!P45</f>
        <v>8194449</v>
      </c>
      <c r="Q37" s="259"/>
      <c r="R37" s="503">
        <f>FSHS!R56+'Human Nutrition'!R40+HMD!R41+ATID!R39+Dean_HE!R45</f>
        <v>18156670</v>
      </c>
      <c r="S37" s="259"/>
      <c r="T37" s="503">
        <f>FSHS!T56+'Human Nutrition'!T40+HMD!T41+ATID!T39+Dean_HE!T45</f>
        <v>18275036</v>
      </c>
      <c r="U37" s="259"/>
      <c r="V37" s="503">
        <f>FSHS!V56+'Human Nutrition'!V40+HMD!V41+ATID!V39+Dean_HE!V45</f>
        <v>18718131</v>
      </c>
      <c r="W37" s="259"/>
      <c r="X37" s="503">
        <f>FSHS!X56+'Human Nutrition'!X40+HMD!X41+ATID!X39+Dean_HE!X45+Kinesiology!X39</f>
        <v>17535581</v>
      </c>
      <c r="Y37" s="259"/>
      <c r="Z37" s="503">
        <f>FSHS!Z56+'Human Nutrition'!Z40+HMD!Z41+ATID!Z39+Dean_HE!Z45+Kinesiology!Z39</f>
        <v>17944389</v>
      </c>
      <c r="AB37" s="636"/>
      <c r="AC37" s="631">
        <f t="shared" si="4"/>
        <v>18125961.399999999</v>
      </c>
    </row>
    <row r="38" spans="1:29" x14ac:dyDescent="0.2">
      <c r="A38" s="3"/>
      <c r="B38" s="404" t="s">
        <v>41</v>
      </c>
      <c r="C38" s="138"/>
      <c r="D38" s="139">
        <f>SUM(D35:D37)</f>
        <v>9293733</v>
      </c>
      <c r="E38" s="138"/>
      <c r="F38" s="139">
        <f>SUM(F35:F37)</f>
        <v>9527116</v>
      </c>
      <c r="G38" s="90"/>
      <c r="H38" s="156">
        <f>SUM(H35:H37)</f>
        <v>12033472</v>
      </c>
      <c r="I38" s="230"/>
      <c r="J38" s="354">
        <f>SUM(J35:J37)</f>
        <v>12468849</v>
      </c>
      <c r="K38" s="230"/>
      <c r="L38" s="510">
        <f>SUM(L35:L37)</f>
        <v>13470258</v>
      </c>
      <c r="M38" s="230"/>
      <c r="N38" s="512">
        <f>SUM(N35:N37)</f>
        <v>13825534</v>
      </c>
      <c r="O38" s="307"/>
      <c r="P38" s="512">
        <f>SUM(P35:P37)</f>
        <v>16370475</v>
      </c>
      <c r="Q38" s="307"/>
      <c r="R38" s="512">
        <f>SUM(R35:R37)</f>
        <v>26790375</v>
      </c>
      <c r="S38" s="307"/>
      <c r="T38" s="512">
        <f>SUM(T35:T37)</f>
        <v>27153529</v>
      </c>
      <c r="U38" s="307"/>
      <c r="V38" s="512">
        <f>SUM(V35:V37)</f>
        <v>27831328</v>
      </c>
      <c r="W38" s="307"/>
      <c r="X38" s="512">
        <f>FSHS!X57+'Human Nutrition'!X41+HMD!X42+ATID!X40+Dean_HE!X46+Kinesiology!X40</f>
        <v>28465621</v>
      </c>
      <c r="Y38" s="307"/>
      <c r="Z38" s="512">
        <f>FSHS!Z57+'Human Nutrition'!Z41+HMD!Z42+ATID!Z40+Dean_HE!Z46+Kinesiology!Z40</f>
        <v>30701786</v>
      </c>
      <c r="AB38" s="636"/>
      <c r="AC38" s="680">
        <f t="shared" si="4"/>
        <v>28188527.800000001</v>
      </c>
    </row>
    <row r="39" spans="1:29" x14ac:dyDescent="0.2">
      <c r="A39" s="3"/>
      <c r="B39" s="401" t="s">
        <v>42</v>
      </c>
      <c r="C39" s="131"/>
      <c r="D39" s="137"/>
      <c r="E39" s="131"/>
      <c r="F39" s="137"/>
      <c r="G39" s="32"/>
      <c r="H39" s="155"/>
      <c r="I39" s="209"/>
      <c r="J39" s="259"/>
      <c r="K39" s="209"/>
      <c r="L39" s="504"/>
      <c r="M39" s="209"/>
      <c r="N39" s="503"/>
      <c r="O39" s="284"/>
      <c r="P39" s="503"/>
      <c r="Q39" s="284"/>
      <c r="R39" s="503"/>
      <c r="S39" s="284"/>
      <c r="T39" s="503"/>
      <c r="U39" s="284"/>
      <c r="V39" s="503"/>
      <c r="W39" s="284"/>
      <c r="X39" s="503"/>
      <c r="Y39" s="284"/>
      <c r="Z39" s="503"/>
      <c r="AB39" s="636"/>
      <c r="AC39" s="631"/>
    </row>
    <row r="40" spans="1:29" x14ac:dyDescent="0.2">
      <c r="A40" s="3"/>
      <c r="B40" s="402" t="s">
        <v>40</v>
      </c>
      <c r="C40" s="187"/>
      <c r="D40" s="137">
        <f>Dean_HE!D48+ATID!D42+FSHS!D59+HMD!D44+'Human Nutrition'!D45</f>
        <v>1356460</v>
      </c>
      <c r="E40" s="187"/>
      <c r="F40" s="137">
        <f>Dean_HE!F48+ATID!F42+FSHS!F59+HMD!F44+'Human Nutrition'!F45</f>
        <v>1312308</v>
      </c>
      <c r="G40" s="155"/>
      <c r="H40" s="155">
        <f>Dean_HE!H48+ATID!H42+FSHS!H59+HMD!H44+'Human Nutrition'!H43</f>
        <v>1414392</v>
      </c>
      <c r="I40" s="293"/>
      <c r="J40" s="259">
        <f>Dean_HE!J48+ATID!J42+FSHS!J59+HMD!J44+'Human Nutrition'!J43</f>
        <v>1556343</v>
      </c>
      <c r="K40" s="293"/>
      <c r="L40" s="504">
        <f>FSHS!L59+'Human Nutrition'!L43+HMD!L44+ATID!L42+Dean_HE!L48</f>
        <v>1638315</v>
      </c>
      <c r="M40" s="293"/>
      <c r="N40" s="503">
        <f>FSHS!N59+'Human Nutrition'!N43+HMD!N44+ATID!N42+Dean_HE!N48</f>
        <v>1683839</v>
      </c>
      <c r="O40" s="259"/>
      <c r="P40" s="503">
        <f>FSHS!P59+'Human Nutrition'!P43+HMD!P44+ATID!P42+Dean_HE!P48</f>
        <v>1522965</v>
      </c>
      <c r="Q40" s="259"/>
      <c r="R40" s="503">
        <f>FSHS!R59+'Human Nutrition'!R43+HMD!R44+ATID!R42+Dean_HE!R48</f>
        <v>1545480</v>
      </c>
      <c r="S40" s="259"/>
      <c r="T40" s="503">
        <f>FSHS!T59+'Human Nutrition'!T43+HMD!T44+ATID!T42+Dean_HE!T48</f>
        <v>1581877</v>
      </c>
      <c r="U40" s="259"/>
      <c r="V40" s="503">
        <f>FSHS!V59+'Human Nutrition'!V43+HMD!V44+ATID!V42+Dean_HE!V48</f>
        <v>1640776</v>
      </c>
      <c r="W40" s="259"/>
      <c r="X40" s="503">
        <f>FSHS!X59+'Human Nutrition'!X43+HMD!X44+ATID!X42+Dean_HE!X48+Kinesiology!X42</f>
        <v>1714690</v>
      </c>
      <c r="Y40" s="259"/>
      <c r="Z40" s="503">
        <f>FSHS!Z59+'Human Nutrition'!Z43+HMD!Z44+ATID!Z42+Dean_HE!Z48+Kinesiology!Z42</f>
        <v>1764553</v>
      </c>
      <c r="AB40" s="636"/>
      <c r="AC40" s="631">
        <f>AVERAGE(X40,V40,T40,R40,Z40)</f>
        <v>1649475.2</v>
      </c>
    </row>
    <row r="41" spans="1:29" x14ac:dyDescent="0.2">
      <c r="A41" s="3"/>
      <c r="B41" s="402" t="s">
        <v>152</v>
      </c>
      <c r="C41" s="187"/>
      <c r="D41" s="137"/>
      <c r="E41" s="187"/>
      <c r="F41" s="137"/>
      <c r="G41" s="155"/>
      <c r="H41" s="155">
        <f>Dean_HE!H49+ATID!H43+FSHS!H60+HMD!H45+'Human Nutrition'!H44</f>
        <v>0</v>
      </c>
      <c r="I41" s="293"/>
      <c r="J41" s="259">
        <f>Dean_HE!J49+ATID!J43+FSHS!J60+HMD!J45+'Human Nutrition'!J44</f>
        <v>0</v>
      </c>
      <c r="K41" s="293"/>
      <c r="L41" s="504">
        <f>FSHS!L60+'Human Nutrition'!L44+HMD!L45+ATID!L43+Dean_HE!L49</f>
        <v>0</v>
      </c>
      <c r="M41" s="293"/>
      <c r="N41" s="503">
        <f>FSHS!N60+'Human Nutrition'!N44+HMD!N45+ATID!N43+Dean_HE!N49</f>
        <v>0</v>
      </c>
      <c r="O41" s="259"/>
      <c r="P41" s="503">
        <f>FSHS!P60+'Human Nutrition'!P44+HMD!P45+ATID!P43+Dean_HE!P49</f>
        <v>0</v>
      </c>
      <c r="Q41" s="259"/>
      <c r="R41" s="503">
        <f>FSHS!R60+'Human Nutrition'!R44+HMD!R45+ATID!R43+Dean_HE!R49</f>
        <v>0</v>
      </c>
      <c r="S41" s="259"/>
      <c r="T41" s="503">
        <f>FSHS!T60+'Human Nutrition'!T44+HMD!T45+ATID!T43+Dean_HE!T49</f>
        <v>0</v>
      </c>
      <c r="U41" s="259"/>
      <c r="V41" s="503">
        <f>FSHS!V60+'Human Nutrition'!V44+HMD!V45+ATID!V43+Dean_HE!V49</f>
        <v>0</v>
      </c>
      <c r="W41" s="259"/>
      <c r="X41" s="503">
        <f>FSHS!X60+'Human Nutrition'!X44+HMD!X45+ATID!X43+Dean_HE!X49</f>
        <v>0</v>
      </c>
      <c r="Y41" s="259"/>
      <c r="Z41" s="503">
        <f>FSHS!Z60+'Human Nutrition'!Z44+HMD!Z45+ATID!Z43+Dean_HE!Z49</f>
        <v>0</v>
      </c>
      <c r="AB41" s="636"/>
      <c r="AC41" s="631">
        <f>AVERAGE(X41,V41,T41,R41,Z41)</f>
        <v>0</v>
      </c>
    </row>
    <row r="42" spans="1:29" ht="36" x14ac:dyDescent="0.2">
      <c r="A42" s="3"/>
      <c r="B42" s="403" t="s">
        <v>153</v>
      </c>
      <c r="C42" s="187"/>
      <c r="D42" s="137">
        <f>Dean_HE!D50+ATID!D44+FSHS!D61+HMD!D46+'Human Nutrition'!D46</f>
        <v>160959</v>
      </c>
      <c r="E42" s="187"/>
      <c r="F42" s="137">
        <f>Dean_HE!F50+ATID!F44+FSHS!F61+HMD!F46+'Human Nutrition'!F46</f>
        <v>3569432</v>
      </c>
      <c r="G42" s="155"/>
      <c r="H42" s="155">
        <f>Dean_HE!H50+ATID!H44+FSHS!H61+HMD!H46+'Human Nutrition'!H45</f>
        <v>4917343</v>
      </c>
      <c r="I42" s="293"/>
      <c r="J42" s="211">
        <f>Dean_HE!J50+ATID!J44+FSHS!J61+HMD!J46+'Human Nutrition'!J45</f>
        <v>5100792</v>
      </c>
      <c r="K42" s="293"/>
      <c r="L42" s="504">
        <f>Dean_HE!L50+ATID!L44+FSHS!L61+HMD!L46+'Human Nutrition'!L45</f>
        <v>5131996</v>
      </c>
      <c r="M42" s="293"/>
      <c r="N42" s="503">
        <f>Dean_HE!N50+ATID!N44+FSHS!N61+HMD!N46+'Human Nutrition'!N45</f>
        <v>5110618</v>
      </c>
      <c r="O42" s="259"/>
      <c r="P42" s="503">
        <f>Dean_HE!P50+ATID!P44+FSHS!P61+HMD!P46+'Human Nutrition'!P45</f>
        <v>5302872</v>
      </c>
      <c r="Q42" s="259"/>
      <c r="R42" s="503">
        <f>Dean_HE!R50+ATID!R44+FSHS!R61+HMD!R46+'Human Nutrition'!R45</f>
        <v>5313124</v>
      </c>
      <c r="S42" s="259"/>
      <c r="T42" s="503">
        <f>Dean_HE!T50+ATID!T44+FSHS!T61+HMD!T46+'Human Nutrition'!T45</f>
        <v>5238197</v>
      </c>
      <c r="U42" s="259"/>
      <c r="V42" s="503">
        <f>Dean_HE!V50+ATID!V44+FSHS!V61+HMD!V46+'Human Nutrition'!V45</f>
        <v>5190404</v>
      </c>
      <c r="W42" s="259"/>
      <c r="X42" s="503">
        <f>FSHS!X61+'Human Nutrition'!X45+HMD!X46+ATID!X44+Dean_HE!X50+Kinesiology!X44</f>
        <v>5221018</v>
      </c>
      <c r="Y42" s="259"/>
      <c r="Z42" s="503">
        <f>FSHS!Z61+'Human Nutrition'!Z45+HMD!Z46+ATID!Z44+Dean_HE!Z50+Kinesiology!Z44</f>
        <v>5225014</v>
      </c>
      <c r="AB42" s="636"/>
      <c r="AC42" s="631">
        <f t="shared" ref="AC42:AC44" si="5">AVERAGE(X42,V42,T42,R42,Z42)</f>
        <v>5237551.4000000004</v>
      </c>
    </row>
    <row r="43" spans="1:29" x14ac:dyDescent="0.2">
      <c r="A43" s="3"/>
      <c r="B43" s="404" t="s">
        <v>43</v>
      </c>
      <c r="C43" s="138"/>
      <c r="D43" s="139">
        <f>SUM(D40:D42)</f>
        <v>1517419</v>
      </c>
      <c r="E43" s="138"/>
      <c r="F43" s="139">
        <f>SUM(F40:F42)</f>
        <v>4881740</v>
      </c>
      <c r="G43" s="90"/>
      <c r="H43" s="156">
        <f>SUM(H40:H42)</f>
        <v>6331735</v>
      </c>
      <c r="I43" s="230"/>
      <c r="J43" s="354">
        <f>SUM(J40:J42)</f>
        <v>6657135</v>
      </c>
      <c r="K43" s="230"/>
      <c r="L43" s="510">
        <f>Dean_HE!L51+ATID!L45+FSHS!L62+HMD!L47+'Human Nutrition'!L46</f>
        <v>6770311</v>
      </c>
      <c r="M43" s="230"/>
      <c r="N43" s="512">
        <f>Dean_HE!N51+ATID!N45+FSHS!N62+HMD!N47+'Human Nutrition'!N46</f>
        <v>6794457</v>
      </c>
      <c r="O43" s="307"/>
      <c r="P43" s="512">
        <f>Dean_HE!P51+ATID!P45+FSHS!P62+HMD!P47+'Human Nutrition'!P46</f>
        <v>6825837</v>
      </c>
      <c r="Q43" s="307"/>
      <c r="R43" s="512">
        <f>Dean_HE!R51+ATID!R45+FSHS!R62+HMD!R47+'Human Nutrition'!R46</f>
        <v>6858604</v>
      </c>
      <c r="S43" s="307"/>
      <c r="T43" s="512">
        <f>Dean_HE!T51+ATID!T45+FSHS!T62+HMD!T47+'Human Nutrition'!T46</f>
        <v>6820074</v>
      </c>
      <c r="U43" s="307"/>
      <c r="V43" s="512">
        <f>Dean_HE!V51+ATID!V45+FSHS!V62+HMD!V47+'Human Nutrition'!V46</f>
        <v>6831180</v>
      </c>
      <c r="W43" s="307"/>
      <c r="X43" s="512">
        <f>FSHS!X62+'Human Nutrition'!X46+HMD!X47+ATID!X45+Dean_HE!X51+Kinesiology!X45</f>
        <v>6935708</v>
      </c>
      <c r="Y43" s="307"/>
      <c r="Z43" s="512">
        <f>FSHS!Z62+'Human Nutrition'!Z46+HMD!Z47+ATID!Z45+Dean_HE!Z51+Kinesiology!Z45</f>
        <v>6989567</v>
      </c>
      <c r="AB43" s="636"/>
      <c r="AC43" s="680">
        <f t="shared" si="5"/>
        <v>6887026.5999999996</v>
      </c>
    </row>
    <row r="44" spans="1:29" ht="13.5" thickBot="1" x14ac:dyDescent="0.25">
      <c r="A44" s="3"/>
      <c r="B44" s="405" t="s">
        <v>44</v>
      </c>
      <c r="C44" s="131"/>
      <c r="D44" s="139">
        <f>SUM(D38,D43)</f>
        <v>10811152</v>
      </c>
      <c r="E44" s="131"/>
      <c r="F44" s="139">
        <f>SUM(F38,F43)</f>
        <v>14408856</v>
      </c>
      <c r="G44" s="32"/>
      <c r="H44" s="156">
        <f>SUM(H38,H43)</f>
        <v>18365207</v>
      </c>
      <c r="I44" s="209"/>
      <c r="J44" s="354">
        <f>SUM(J38,J43)</f>
        <v>19125984</v>
      </c>
      <c r="K44" s="209"/>
      <c r="L44" s="510">
        <f>SUM(L38,L43)</f>
        <v>20240569</v>
      </c>
      <c r="M44" s="209"/>
      <c r="N44" s="512">
        <f>SUM(N38,N43)</f>
        <v>20619991</v>
      </c>
      <c r="O44" s="284"/>
      <c r="P44" s="512">
        <f>SUM(P38,P43)</f>
        <v>23196312</v>
      </c>
      <c r="Q44" s="284"/>
      <c r="R44" s="512">
        <f>SUM(R38,R43)</f>
        <v>33648979</v>
      </c>
      <c r="S44" s="284"/>
      <c r="T44" s="512">
        <f>SUM(T38,T43)</f>
        <v>33973603</v>
      </c>
      <c r="U44" s="284"/>
      <c r="V44" s="512">
        <f>SUM(V38,V43)</f>
        <v>34662508</v>
      </c>
      <c r="W44" s="284"/>
      <c r="X44" s="512">
        <f>SUM(X38,X43)</f>
        <v>35401329</v>
      </c>
      <c r="Y44" s="284"/>
      <c r="Z44" s="512">
        <f>SUM(Z38,Z43)</f>
        <v>37691353</v>
      </c>
      <c r="AB44" s="628"/>
      <c r="AC44" s="681">
        <f t="shared" si="5"/>
        <v>35075554.399999999</v>
      </c>
    </row>
    <row r="45" spans="1:29" ht="12" x14ac:dyDescent="0.2">
      <c r="B45" s="406" t="s">
        <v>157</v>
      </c>
      <c r="C45" s="140"/>
      <c r="D45" s="141"/>
      <c r="E45" s="140"/>
      <c r="F45" s="141"/>
      <c r="G45" s="93"/>
      <c r="H45" s="93"/>
      <c r="I45" s="231"/>
      <c r="J45" s="308"/>
      <c r="K45" s="231"/>
      <c r="L45" s="308"/>
      <c r="M45" s="231"/>
      <c r="N45" s="316"/>
      <c r="O45" s="308"/>
      <c r="P45" s="316"/>
      <c r="Q45" s="308"/>
      <c r="R45" s="316"/>
      <c r="S45" s="308"/>
      <c r="T45" s="316"/>
      <c r="U45" s="308"/>
      <c r="V45" s="316"/>
      <c r="W45" s="308"/>
      <c r="X45" s="316"/>
      <c r="Y45" s="308"/>
      <c r="Z45" s="316"/>
      <c r="AB45" s="624"/>
      <c r="AC45" s="625"/>
    </row>
    <row r="46" spans="1:29" ht="12" x14ac:dyDescent="0.2">
      <c r="B46" s="48" t="s">
        <v>199</v>
      </c>
      <c r="C46" s="457"/>
      <c r="D46" s="456">
        <f>Dean_HE!D54+ATID!D48+FSHS!D65+HMD!D50+'Human Nutrition'!D51</f>
        <v>5511184</v>
      </c>
      <c r="E46" s="457"/>
      <c r="F46" s="456">
        <f>Dean_HE!F54+ATID!F48+FSHS!F65+HMD!F50+'Human Nutrition'!F51</f>
        <v>6297235</v>
      </c>
      <c r="G46" s="277"/>
      <c r="H46" s="456">
        <f>Dean_HE!H54+ATID!H48+FSHS!H65+HMD!H50+'Human Nutrition'!H50</f>
        <v>6188444.0599999996</v>
      </c>
      <c r="I46" s="457"/>
      <c r="J46" s="456">
        <f>Dean_HE!J54+ATID!J48+FSHS!J65+HMD!J50+'Human Nutrition'!J50</f>
        <v>6396841.0099999998</v>
      </c>
      <c r="K46" s="457"/>
      <c r="L46" s="277">
        <f>Dean_HE!L54+ATID!L48+FSHS!L65+HMD!L50+'Human Nutrition'!L50</f>
        <v>6953304</v>
      </c>
      <c r="M46" s="457"/>
      <c r="N46" s="690">
        <f>Dean_HE!N54+ATID!N48+FSHS!N65+HMD!N50+'Human Nutrition'!N50</f>
        <v>7521539</v>
      </c>
      <c r="O46" s="457"/>
      <c r="P46" s="690">
        <f>Dean_HE!P54+ATID!P48+FSHS!P65+HMD!P50+'Human Nutrition'!P50</f>
        <v>7579427</v>
      </c>
      <c r="Q46" s="457"/>
      <c r="R46" s="690">
        <f>Dean_HE!R54+ATID!R48+FSHS!R65+HMD!R50+'Human Nutrition'!R50</f>
        <v>7469098</v>
      </c>
      <c r="S46" s="457"/>
      <c r="T46" s="690">
        <f>Dean_HE!T54+ATID!T48+FSHS!T65+HMD!T50+'Human Nutrition'!T50</f>
        <v>7960821</v>
      </c>
      <c r="U46" s="457"/>
      <c r="V46" s="690">
        <f>Dean_HE!V54+ATID!V48+FSHS!V65+HMD!V50+'Human Nutrition'!V50+Kinesiology!V48</f>
        <v>9504870</v>
      </c>
      <c r="W46" s="932"/>
      <c r="X46" s="931">
        <f>Dean_HE!X54+ATID!X48+FSHS!X65+HMD!X50+'Human Nutrition'!X50+Kinesiology!X48</f>
        <v>10176801.778999999</v>
      </c>
      <c r="Y46" s="979"/>
      <c r="Z46" s="960"/>
      <c r="AB46" s="636"/>
      <c r="AC46" s="732">
        <f>AVERAGE(X46,V46,T46,R46,P46)</f>
        <v>8538203.5558000002</v>
      </c>
    </row>
    <row r="47" spans="1:29" ht="12" x14ac:dyDescent="0.2">
      <c r="B47" s="407" t="s">
        <v>200</v>
      </c>
      <c r="C47" s="373"/>
      <c r="D47" s="458">
        <f>Dean_HE!D55+ATID!D49+FSHS!D66+HMD!D51+'Human Nutrition'!D52</f>
        <v>1666703</v>
      </c>
      <c r="E47" s="294"/>
      <c r="F47" s="458">
        <f>Dean_HE!F55+ATID!F49+FSHS!F66+HMD!F51+'Human Nutrition'!F52</f>
        <v>1791981</v>
      </c>
      <c r="G47" s="373"/>
      <c r="H47" s="458">
        <f>Dean_HE!H55+ATID!H49+FSHS!H66+HMD!H51+'Human Nutrition'!H51</f>
        <v>1955490</v>
      </c>
      <c r="I47" s="294"/>
      <c r="J47" s="458">
        <f>Dean_HE!J55+ATID!J49+FSHS!J66+HMD!J51+'Human Nutrition'!J51</f>
        <v>1948275</v>
      </c>
      <c r="K47" s="294"/>
      <c r="L47" s="277">
        <f>SUM(Dean_HE!L55+ATID!L49+FSHS!L66)</f>
        <v>1197736</v>
      </c>
      <c r="M47" s="294"/>
      <c r="N47" s="690">
        <f>Dean_HE!N55+ATID!N49+FSHS!N66+HMD!N51+'Human Nutrition'!N51</f>
        <v>2249751</v>
      </c>
      <c r="O47" s="294"/>
      <c r="P47" s="690">
        <f>Dean_HE!P55+ATID!P49+FSHS!P66+HMD!P51+'Human Nutrition'!P51</f>
        <v>2033488</v>
      </c>
      <c r="Q47" s="294"/>
      <c r="R47" s="690">
        <f>Dean_HE!R55+ATID!R49+FSHS!R66+HMD!R51+'Human Nutrition'!R51</f>
        <v>1917715.7799999998</v>
      </c>
      <c r="S47" s="294"/>
      <c r="T47" s="690">
        <f>Dean_HE!T55+ATID!T49+FSHS!T66+HMD!T51+'Human Nutrition'!T51</f>
        <v>1982693.7000000002</v>
      </c>
      <c r="U47" s="294"/>
      <c r="V47" s="690">
        <f>Dean_HE!V55+ATID!V49+FSHS!V66+HMD!V51+'Human Nutrition'!V51+Kinesiology!V49</f>
        <v>2794713</v>
      </c>
      <c r="W47" s="934"/>
      <c r="X47" s="931">
        <f>Dean_HE!X55+ATID!X49+FSHS!X66+HMD!X51+'Human Nutrition'!X51+Kinesiology!X49</f>
        <v>2573222.6</v>
      </c>
      <c r="Y47" s="980"/>
      <c r="Z47" s="960"/>
      <c r="AB47" s="636"/>
      <c r="AC47" s="679">
        <f>AVERAGE(X47,V47,T47,R47,P47)</f>
        <v>2260366.6159999999</v>
      </c>
    </row>
    <row r="48" spans="1:29" thickBot="1" x14ac:dyDescent="0.25">
      <c r="A48" s="272"/>
      <c r="B48" s="408" t="s">
        <v>201</v>
      </c>
      <c r="C48" s="60"/>
      <c r="D48" s="147"/>
      <c r="E48" s="758"/>
      <c r="F48" s="147"/>
      <c r="G48" s="60"/>
      <c r="H48" s="147"/>
      <c r="I48" s="295"/>
      <c r="J48" s="356"/>
      <c r="K48" s="234"/>
      <c r="L48" s="356"/>
      <c r="M48" s="234"/>
      <c r="N48" s="317"/>
      <c r="O48" s="295"/>
      <c r="P48" s="317"/>
      <c r="Q48" s="295"/>
      <c r="R48" s="317"/>
      <c r="S48" s="295"/>
      <c r="T48" s="317"/>
      <c r="U48" s="295"/>
      <c r="V48" s="317"/>
      <c r="W48" s="295"/>
      <c r="X48" s="317"/>
      <c r="Y48" s="295"/>
      <c r="Z48" s="317"/>
      <c r="AB48" s="628"/>
      <c r="AC48" s="672"/>
    </row>
    <row r="49" spans="1:29" ht="12" x14ac:dyDescent="0.2">
      <c r="A49" s="272"/>
      <c r="B49" s="427"/>
      <c r="C49" s="270" t="s">
        <v>74</v>
      </c>
      <c r="D49" s="269" t="s">
        <v>80</v>
      </c>
      <c r="E49" s="270" t="s">
        <v>74</v>
      </c>
      <c r="F49" s="269" t="s">
        <v>80</v>
      </c>
      <c r="G49" s="270" t="s">
        <v>74</v>
      </c>
      <c r="H49" s="269" t="s">
        <v>80</v>
      </c>
      <c r="I49" s="296" t="s">
        <v>74</v>
      </c>
      <c r="J49" s="366" t="s">
        <v>80</v>
      </c>
      <c r="K49" s="475" t="s">
        <v>74</v>
      </c>
      <c r="L49" s="366" t="s">
        <v>80</v>
      </c>
      <c r="M49" s="475" t="s">
        <v>74</v>
      </c>
      <c r="N49" s="813" t="s">
        <v>80</v>
      </c>
      <c r="O49" s="296" t="s">
        <v>74</v>
      </c>
      <c r="P49" s="813" t="s">
        <v>80</v>
      </c>
      <c r="Q49" s="296" t="s">
        <v>74</v>
      </c>
      <c r="R49" s="813" t="s">
        <v>80</v>
      </c>
      <c r="S49" s="296" t="s">
        <v>74</v>
      </c>
      <c r="T49" s="813" t="s">
        <v>19</v>
      </c>
      <c r="U49" s="296" t="s">
        <v>74</v>
      </c>
      <c r="V49" s="813" t="s">
        <v>80</v>
      </c>
      <c r="W49" s="296" t="s">
        <v>74</v>
      </c>
      <c r="X49" s="813" t="s">
        <v>80</v>
      </c>
      <c r="Y49" s="296" t="s">
        <v>74</v>
      </c>
      <c r="Z49" s="813" t="s">
        <v>80</v>
      </c>
      <c r="AB49" s="734" t="s">
        <v>74</v>
      </c>
      <c r="AC49" s="476" t="s">
        <v>80</v>
      </c>
    </row>
    <row r="50" spans="1:29" ht="11.45" customHeight="1" x14ac:dyDescent="0.2">
      <c r="A50" s="272"/>
      <c r="B50" s="54" t="s">
        <v>35</v>
      </c>
      <c r="C50" s="754"/>
      <c r="D50" s="274"/>
      <c r="E50" s="759"/>
      <c r="F50" s="265"/>
      <c r="G50" s="759"/>
      <c r="H50" s="265"/>
      <c r="I50" s="755"/>
      <c r="J50" s="367"/>
      <c r="K50" s="595"/>
      <c r="L50" s="367"/>
      <c r="M50" s="595"/>
      <c r="N50" s="345"/>
      <c r="O50" s="755"/>
      <c r="P50" s="345"/>
      <c r="Q50" s="755"/>
      <c r="R50" s="345"/>
      <c r="S50" s="755"/>
      <c r="T50" s="345"/>
      <c r="U50" s="755"/>
      <c r="V50" s="345"/>
      <c r="W50" s="755"/>
      <c r="X50" s="345"/>
      <c r="Y50" s="755"/>
      <c r="Z50" s="345"/>
      <c r="AB50" s="761"/>
      <c r="AC50" s="351"/>
    </row>
    <row r="51" spans="1:29" ht="11.45" customHeight="1" x14ac:dyDescent="0.2">
      <c r="A51" s="272"/>
      <c r="B51" s="48" t="s">
        <v>90</v>
      </c>
      <c r="C51" s="755">
        <f>SUM(Dean_HE!C58+ATID!C52+FSHS!C69+HMD!C54+'Human Nutrition'!C55)</f>
        <v>85</v>
      </c>
      <c r="D51" s="347">
        <f>FSHS!D69+'Human Nutrition'!D55+HMD!D54+ATID!D52+Dean_HE!D58</f>
        <v>6519473</v>
      </c>
      <c r="E51" s="755">
        <f>SUM(Dean_HE!E58+ATID!E52+FSHS!E69+HMD!E54+'Human Nutrition'!E55)</f>
        <v>66</v>
      </c>
      <c r="F51" s="347">
        <f>FSHS!F69+'Human Nutrition'!F55+HMD!F54+ATID!F52+Dean_HE!F58</f>
        <v>4504148</v>
      </c>
      <c r="G51" s="755">
        <f>SUM(Dean_HE!G58+ATID!G52+FSHS!G69+HMD!G54+'Human Nutrition'!G54)</f>
        <v>47</v>
      </c>
      <c r="H51" s="347">
        <f>FSHS!H69+'Human Nutrition'!H54+HMD!H54+ATID!H52+Dean_HE!H58</f>
        <v>1671110</v>
      </c>
      <c r="I51" s="755">
        <f>SUM(Dean_HE!I58+ATID!I52+FSHS!I69+HMD!I54+'Human Nutrition'!I54)</f>
        <v>48</v>
      </c>
      <c r="J51" s="347">
        <f>FSHS!J69+'Human Nutrition'!J54+HMD!J54+ATID!J52+Dean_HE!J58</f>
        <v>7210800</v>
      </c>
      <c r="K51" s="755">
        <f>SUM(Dean_HE!K58+ATID!K52+FSHS!K69+HMD!K54+'Human Nutrition'!K54)</f>
        <v>42</v>
      </c>
      <c r="L51" s="347">
        <f>FSHS!L69+'Human Nutrition'!L54+HMD!L54+ATID!L52+Dean_HE!L58</f>
        <v>3188855</v>
      </c>
      <c r="M51" s="755">
        <f>SUM(Dean_HE!M58+ATID!M52+FSHS!M69+HMD!M54+'Human Nutrition'!M54)</f>
        <v>56</v>
      </c>
      <c r="N51" s="347">
        <f>FSHS!N69+'Human Nutrition'!N54+HMD!N54+ATID!N52+Dean_HE!N58</f>
        <v>7353201</v>
      </c>
      <c r="O51" s="755">
        <f>SUM(Dean_HE!O58+ATID!O52+FSHS!O69+HMD!O54+'Human Nutrition'!O54)</f>
        <v>49</v>
      </c>
      <c r="P51" s="347">
        <f>FSHS!P69+'Human Nutrition'!P54+HMD!P54+ATID!P52+Dean_HE!P58</f>
        <v>20777771</v>
      </c>
      <c r="Q51" s="755">
        <f>SUM(Dean_HE!Q58+ATID!Q52+FSHS!Q69+HMD!Q54+'Human Nutrition'!Q54)</f>
        <v>56</v>
      </c>
      <c r="R51" s="347">
        <f>FSHS!R69+'Human Nutrition'!R54+HMD!R54+ATID!R52+Dean_HE!R58</f>
        <v>17043386</v>
      </c>
      <c r="S51" s="755">
        <f>SUM(Dean_HE!S58+ATID!S52+FSHS!S69+HMD!S54+'Human Nutrition'!S54)</f>
        <v>35</v>
      </c>
      <c r="T51" s="347">
        <f>FSHS!T69+'Human Nutrition'!T54+HMD!T54+ATID!T52+Dean_HE!T58</f>
        <v>15794759</v>
      </c>
      <c r="U51" s="755">
        <f>SUM(Dean_HE!U58+ATID!U52+FSHS!U69+HMD!U54+'Human Nutrition'!U54)</f>
        <v>69</v>
      </c>
      <c r="V51" s="347">
        <f>FSHS!V69+'Human Nutrition'!V54+HMD!V54+ATID!V52+Dean_HE!V58</f>
        <v>9905869</v>
      </c>
      <c r="W51" s="1245">
        <f>SUM(Dean_HE!W58+ATID!W52+FSHS!W69+HMD!W54+'Human Nutrition'!W54+Kinesiology!W51)</f>
        <v>69</v>
      </c>
      <c r="X51" s="347">
        <f>SUM(Dean_HE!X58+ATID!X52+FSHS!X69+HMD!X54+'Human Nutrition'!X54+Kinesiology!X51)</f>
        <v>7265424</v>
      </c>
      <c r="Y51" s="981"/>
      <c r="Z51" s="982"/>
      <c r="AB51" s="762">
        <f t="shared" ref="AB51:AC51" si="6">AVERAGE(W51,U51,S51,Q51,Y51)</f>
        <v>57.25</v>
      </c>
      <c r="AC51" s="682">
        <f t="shared" si="6"/>
        <v>12502359.5</v>
      </c>
    </row>
    <row r="52" spans="1:29" ht="11.45" customHeight="1" x14ac:dyDescent="0.2">
      <c r="A52" s="272"/>
      <c r="B52" s="48" t="s">
        <v>89</v>
      </c>
      <c r="C52" s="756"/>
      <c r="D52" s="274"/>
      <c r="E52" s="754"/>
      <c r="F52" s="273"/>
      <c r="G52" s="755"/>
      <c r="H52" s="347"/>
      <c r="I52" s="755"/>
      <c r="J52" s="345"/>
      <c r="K52" s="755"/>
      <c r="L52" s="345"/>
      <c r="M52" s="755"/>
      <c r="N52" s="345"/>
      <c r="O52" s="755"/>
      <c r="P52" s="345"/>
      <c r="Q52" s="755"/>
      <c r="R52" s="345"/>
      <c r="S52" s="755">
        <f>1</f>
        <v>1</v>
      </c>
      <c r="T52" s="1032">
        <f>4745011</f>
        <v>4745011</v>
      </c>
      <c r="U52" s="755">
        <f>1</f>
        <v>1</v>
      </c>
      <c r="V52" s="1032">
        <f>4745011</f>
        <v>4745011</v>
      </c>
      <c r="W52" s="755"/>
      <c r="X52" s="1032"/>
      <c r="Y52" s="981"/>
      <c r="Z52" s="983"/>
      <c r="AB52" s="762"/>
      <c r="AC52" s="682"/>
    </row>
    <row r="53" spans="1:29" ht="11.45" customHeight="1" x14ac:dyDescent="0.2">
      <c r="A53" s="272"/>
      <c r="B53" s="54" t="s">
        <v>91</v>
      </c>
      <c r="C53" s="756">
        <f>SUM(C51:C52)</f>
        <v>85</v>
      </c>
      <c r="D53" s="274">
        <f>SUM(D51:D52)</f>
        <v>6519473</v>
      </c>
      <c r="E53" s="754">
        <f>SUM(E51:E52)</f>
        <v>66</v>
      </c>
      <c r="F53" s="273">
        <f>SUM(F51:F52)</f>
        <v>4504148</v>
      </c>
      <c r="G53" s="755">
        <f t="shared" ref="G53:L53" si="7">SUM(G51:G52)</f>
        <v>47</v>
      </c>
      <c r="H53" s="347">
        <f>SUM(H51:H52)</f>
        <v>1671110</v>
      </c>
      <c r="I53" s="755">
        <f t="shared" si="7"/>
        <v>48</v>
      </c>
      <c r="J53" s="347">
        <f t="shared" si="7"/>
        <v>7210800</v>
      </c>
      <c r="K53" s="755">
        <f t="shared" si="7"/>
        <v>42</v>
      </c>
      <c r="L53" s="347">
        <f t="shared" si="7"/>
        <v>3188855</v>
      </c>
      <c r="M53" s="755">
        <f t="shared" ref="M53:R53" si="8">SUM(M51:M52)</f>
        <v>56</v>
      </c>
      <c r="N53" s="347">
        <f t="shared" si="8"/>
        <v>7353201</v>
      </c>
      <c r="O53" s="755">
        <f t="shared" si="8"/>
        <v>49</v>
      </c>
      <c r="P53" s="347">
        <f t="shared" si="8"/>
        <v>20777771</v>
      </c>
      <c r="Q53" s="755">
        <f t="shared" si="8"/>
        <v>56</v>
      </c>
      <c r="R53" s="347">
        <f t="shared" si="8"/>
        <v>17043386</v>
      </c>
      <c r="S53" s="755">
        <f t="shared" ref="S53:X53" si="9">SUM(S51:S52)</f>
        <v>36</v>
      </c>
      <c r="T53" s="347">
        <f t="shared" si="9"/>
        <v>20539770</v>
      </c>
      <c r="U53" s="755">
        <f t="shared" si="9"/>
        <v>70</v>
      </c>
      <c r="V53" s="347">
        <f t="shared" si="9"/>
        <v>14650880</v>
      </c>
      <c r="W53" s="755">
        <f t="shared" si="9"/>
        <v>69</v>
      </c>
      <c r="X53" s="347">
        <f t="shared" si="9"/>
        <v>7265424</v>
      </c>
      <c r="Y53" s="981"/>
      <c r="Z53" s="982"/>
      <c r="AB53" s="762">
        <f t="shared" ref="AB53:AC53" si="10">AVERAGE(W53,U53,S53,Q53,Y53)</f>
        <v>57.75</v>
      </c>
      <c r="AC53" s="682">
        <f t="shared" si="10"/>
        <v>14874865</v>
      </c>
    </row>
    <row r="54" spans="1:29" ht="11.45" customHeight="1" x14ac:dyDescent="0.2">
      <c r="A54" s="272"/>
      <c r="B54" s="428" t="s">
        <v>17</v>
      </c>
      <c r="C54" s="757"/>
      <c r="D54" s="267"/>
      <c r="E54" s="754"/>
      <c r="F54" s="265"/>
      <c r="G54" s="755"/>
      <c r="H54" s="345"/>
      <c r="I54" s="755"/>
      <c r="J54" s="345"/>
      <c r="K54" s="755"/>
      <c r="L54" s="345"/>
      <c r="M54" s="755"/>
      <c r="N54" s="345"/>
      <c r="O54" s="755"/>
      <c r="P54" s="345"/>
      <c r="Q54" s="755"/>
      <c r="R54" s="345"/>
      <c r="S54" s="755"/>
      <c r="T54" s="345"/>
      <c r="U54" s="755"/>
      <c r="V54" s="345"/>
      <c r="W54" s="755"/>
      <c r="X54" s="345"/>
      <c r="Y54" s="981"/>
      <c r="Z54" s="983"/>
      <c r="AB54" s="762"/>
      <c r="AC54" s="682"/>
    </row>
    <row r="55" spans="1:29" ht="11.45" customHeight="1" x14ac:dyDescent="0.2">
      <c r="A55" s="272"/>
      <c r="B55" s="48" t="s">
        <v>90</v>
      </c>
      <c r="C55" s="755">
        <f>SUM(Dean_HE!C60+ATID!C54+FSHS!C70+HMD!C56+'Human Nutrition'!C57)</f>
        <v>72</v>
      </c>
      <c r="D55" s="346">
        <f>SUM(Dean_HE!D60+ATID!D54+FSHS!D70+HMD!D56+'Human Nutrition'!D57)</f>
        <v>5536367</v>
      </c>
      <c r="E55" s="755">
        <f>SUM(Dean_HE!E60+ATID!E54+FSHS!E70+HMD!E56+'Human Nutrition'!E57)</f>
        <v>56</v>
      </c>
      <c r="F55" s="346">
        <f>SUM(Dean_HE!F60+ATID!F54+FSHS!F70+HMD!F56+'Human Nutrition'!F57)</f>
        <v>6873321.1200000001</v>
      </c>
      <c r="G55" s="755">
        <f>SUM(Dean_HE!G60+ATID!G54+FSHS!G70+HMD!G56+'Human Nutrition'!G56)</f>
        <v>70</v>
      </c>
      <c r="H55" s="346">
        <f>SUM(Dean_HE!H60+ATID!H54+FSHS!H70+HMD!H56+'Human Nutrition'!H56)</f>
        <v>8973068</v>
      </c>
      <c r="I55" s="755">
        <f>SUM(Dean_HE!I60+ATID!I54+FSHS!I70+HMD!I56+'Human Nutrition'!I56)</f>
        <v>58</v>
      </c>
      <c r="J55" s="346">
        <f>SUM(Dean_HE!J60+ATID!J54+FSHS!J70+HMD!J56+'Human Nutrition'!J56)</f>
        <v>5357651</v>
      </c>
      <c r="K55" s="755">
        <f>SUM(Dean_HE!K60+ATID!K54+FSHS!K70+HMD!K56+'Human Nutrition'!K56)</f>
        <v>38</v>
      </c>
      <c r="L55" s="346">
        <f>SUM(Dean_HE!L60+ATID!L54+FSHS!L70+HMD!L56+'Human Nutrition'!L56)</f>
        <v>19804329</v>
      </c>
      <c r="M55" s="755">
        <f>SUM(Dean_HE!M60+ATID!M54+FSHS!M70+HMD!M56+'Human Nutrition'!M56)</f>
        <v>35</v>
      </c>
      <c r="N55" s="346">
        <f>SUM(Dean_HE!N60+ATID!N54+FSHS!N70+HMD!N56+'Human Nutrition'!N56)</f>
        <v>18015700</v>
      </c>
      <c r="O55" s="755">
        <f>SUM(Dean_HE!O60+ATID!O54+FSHS!O70+HMD!O56+'Human Nutrition'!O56)</f>
        <v>44</v>
      </c>
      <c r="P55" s="346">
        <f>SUM(Dean_HE!P60+ATID!P54+FSHS!P70+HMD!P56+'Human Nutrition'!P56)</f>
        <v>18521938</v>
      </c>
      <c r="Q55" s="755">
        <f>SUM(Dean_HE!Q60+ATID!Q54+FSHS!Q70+HMD!Q56+'Human Nutrition'!Q56)</f>
        <v>39</v>
      </c>
      <c r="R55" s="346">
        <f>SUM(Dean_HE!R60+ATID!R54+FSHS!R70+HMD!R56+'Human Nutrition'!R56)</f>
        <v>14297013</v>
      </c>
      <c r="S55" s="755">
        <f>SUM(Dean_HE!S60+ATID!S54+FSHS!S70+HMD!S56+'Human Nutrition'!S56)</f>
        <v>37</v>
      </c>
      <c r="T55" s="346">
        <f>SUM(Dean_HE!T60+ATID!T54+FSHS!T70+HMD!T56+'Human Nutrition'!T56)</f>
        <v>18798104</v>
      </c>
      <c r="U55" s="755">
        <f>SUM(Dean_HE!U60+ATID!U54+FSHS!U70+HMD!U56+'Human Nutrition'!U56)</f>
        <v>32</v>
      </c>
      <c r="V55" s="346">
        <f>SUM(Dean_HE!V60+ATID!V54+FSHS!V70+HMD!V56+'Human Nutrition'!V56)</f>
        <v>9567858</v>
      </c>
      <c r="W55" s="1245">
        <f>SUM(Dean_HE!W60+ATID!W54+FSHS!W70+HMD!W56+'Human Nutrition'!W56+Kinesiology!W53)</f>
        <v>43</v>
      </c>
      <c r="X55" s="346">
        <f>SUM(Dean_HE!X60+ATID!X54+FSHS!X70+HMD!X56+'Human Nutrition'!X56+Kinesiology!X53)</f>
        <v>10488105</v>
      </c>
      <c r="Y55" s="981"/>
      <c r="Z55" s="984"/>
      <c r="AB55" s="762">
        <f t="shared" ref="AB55:AC55" si="11">AVERAGE(W55,U55,S55,Q55,Y55)</f>
        <v>37.75</v>
      </c>
      <c r="AC55" s="682">
        <f t="shared" si="11"/>
        <v>13287770</v>
      </c>
    </row>
    <row r="56" spans="1:29" ht="12" x14ac:dyDescent="0.2">
      <c r="A56" s="272"/>
      <c r="B56" s="48" t="s">
        <v>89</v>
      </c>
      <c r="C56" s="756"/>
      <c r="D56" s="266"/>
      <c r="E56" s="759"/>
      <c r="F56" s="28"/>
      <c r="G56" s="760"/>
      <c r="H56" s="313"/>
      <c r="I56" s="755"/>
      <c r="J56" s="346"/>
      <c r="K56" s="755"/>
      <c r="L56" s="346"/>
      <c r="M56" s="755"/>
      <c r="N56" s="346"/>
      <c r="O56" s="755"/>
      <c r="P56" s="346"/>
      <c r="Q56" s="755"/>
      <c r="R56" s="346"/>
      <c r="S56" s="755">
        <v>1</v>
      </c>
      <c r="T56" s="346">
        <v>2359722</v>
      </c>
      <c r="U56" s="755">
        <v>1</v>
      </c>
      <c r="V56" s="346">
        <v>2359722</v>
      </c>
      <c r="W56" s="755"/>
      <c r="X56" s="346"/>
      <c r="Y56" s="981"/>
      <c r="Z56" s="984"/>
      <c r="AB56" s="762"/>
      <c r="AC56" s="682"/>
    </row>
    <row r="57" spans="1:29" ht="12" x14ac:dyDescent="0.2">
      <c r="A57" s="272"/>
      <c r="B57" s="54" t="s">
        <v>92</v>
      </c>
      <c r="C57" s="755">
        <f>SUM(C55:C56)</f>
        <v>72</v>
      </c>
      <c r="D57" s="268">
        <f>SUM(D55:D56)</f>
        <v>5536367</v>
      </c>
      <c r="E57" s="755">
        <f t="shared" ref="E57:L57" si="12">SUM(E55:E56)</f>
        <v>56</v>
      </c>
      <c r="F57" s="273">
        <f t="shared" si="12"/>
        <v>6873321.1200000001</v>
      </c>
      <c r="G57" s="755">
        <f t="shared" si="12"/>
        <v>70</v>
      </c>
      <c r="H57" s="347">
        <f t="shared" si="12"/>
        <v>8973068</v>
      </c>
      <c r="I57" s="755">
        <f t="shared" si="12"/>
        <v>58</v>
      </c>
      <c r="J57" s="347">
        <f t="shared" si="12"/>
        <v>5357651</v>
      </c>
      <c r="K57" s="755">
        <f t="shared" si="12"/>
        <v>38</v>
      </c>
      <c r="L57" s="347">
        <f t="shared" si="12"/>
        <v>19804329</v>
      </c>
      <c r="M57" s="755">
        <f t="shared" ref="M57:R57" si="13">SUM(M55:M56)</f>
        <v>35</v>
      </c>
      <c r="N57" s="347">
        <f t="shared" si="13"/>
        <v>18015700</v>
      </c>
      <c r="O57" s="755">
        <f t="shared" si="13"/>
        <v>44</v>
      </c>
      <c r="P57" s="347">
        <f t="shared" si="13"/>
        <v>18521938</v>
      </c>
      <c r="Q57" s="755">
        <f t="shared" si="13"/>
        <v>39</v>
      </c>
      <c r="R57" s="347">
        <f t="shared" si="13"/>
        <v>14297013</v>
      </c>
      <c r="S57" s="755">
        <f t="shared" ref="S57:X57" si="14">SUM(S55:S56)</f>
        <v>38</v>
      </c>
      <c r="T57" s="347">
        <f t="shared" si="14"/>
        <v>21157826</v>
      </c>
      <c r="U57" s="755">
        <f t="shared" si="14"/>
        <v>33</v>
      </c>
      <c r="V57" s="347">
        <f t="shared" si="14"/>
        <v>11927580</v>
      </c>
      <c r="W57" s="755">
        <f t="shared" si="14"/>
        <v>43</v>
      </c>
      <c r="X57" s="347">
        <f t="shared" si="14"/>
        <v>10488105</v>
      </c>
      <c r="Y57" s="981"/>
      <c r="Z57" s="985"/>
      <c r="AB57" s="762">
        <f t="shared" ref="AB57:AC57" si="15">AVERAGE(W57,U57,S57,Q57,Y57)</f>
        <v>38.25</v>
      </c>
      <c r="AC57" s="682">
        <f t="shared" si="15"/>
        <v>14467631</v>
      </c>
    </row>
    <row r="58" spans="1:29" ht="12" x14ac:dyDescent="0.2">
      <c r="A58" s="272"/>
      <c r="B58" s="404" t="s">
        <v>51</v>
      </c>
      <c r="C58" s="757"/>
      <c r="D58" s="268"/>
      <c r="E58" s="81"/>
      <c r="F58" s="820"/>
      <c r="G58" s="309"/>
      <c r="H58" s="377"/>
      <c r="I58" s="309"/>
      <c r="J58" s="377"/>
      <c r="K58" s="275"/>
      <c r="L58" s="377"/>
      <c r="M58" s="232"/>
      <c r="N58" s="377"/>
      <c r="O58" s="309"/>
      <c r="P58" s="377"/>
      <c r="Q58" s="309"/>
      <c r="R58" s="377"/>
      <c r="S58" s="309"/>
      <c r="T58" s="377"/>
      <c r="U58" s="309"/>
      <c r="V58" s="377"/>
      <c r="W58" s="309"/>
      <c r="X58" s="377"/>
      <c r="Y58" s="309"/>
      <c r="Z58" s="377"/>
      <c r="AB58" s="821"/>
      <c r="AC58" s="648"/>
    </row>
    <row r="59" spans="1:29" ht="12" x14ac:dyDescent="0.2">
      <c r="A59" s="272"/>
      <c r="B59" s="402" t="s">
        <v>84</v>
      </c>
      <c r="C59" s="460"/>
      <c r="D59" s="459">
        <f>Dean_HE!D63+ATID!D57+FSHS!D72+HMD!D59+'Human Nutrition'!D60</f>
        <v>1970738.97</v>
      </c>
      <c r="E59" s="816"/>
      <c r="F59" s="814">
        <f>Dean_HE!F63+ATID!F57+FSHS!F72+HMD!F59+'Human Nutrition'!F60</f>
        <v>2724409.92</v>
      </c>
      <c r="G59" s="818"/>
      <c r="H59" s="814">
        <f>Dean_HE!H63+ATID!H57+FSHS!H72+HMD!H59+'Human Nutrition'!H59</f>
        <v>966441.1</v>
      </c>
      <c r="I59" s="818"/>
      <c r="J59" s="456">
        <f>Dean_HE!J63+ATID!J57+FSHS!J72+HMD!J59+'Human Nutrition'!J59</f>
        <v>2981768.83</v>
      </c>
      <c r="K59" s="457"/>
      <c r="L59" s="397">
        <f>Dean_HE!L63+ATID!L57+FSHS!L72+HMD!L59+'Human Nutrition'!L59</f>
        <v>2701856.24</v>
      </c>
      <c r="M59" s="457"/>
      <c r="N59" s="397">
        <f>Dean_HE!N63+ATID!N57+FSHS!N72+HMD!N59+'Human Nutrition'!N59</f>
        <v>4330781</v>
      </c>
      <c r="O59" s="457"/>
      <c r="P59" s="395">
        <f>Dean_HE!P63+ATID!P57+FSHS!P72+HMD!P59+'Human Nutrition'!P59</f>
        <v>3447699</v>
      </c>
      <c r="Q59" s="457"/>
      <c r="R59" s="395">
        <f>Dean_HE!R63+ATID!R57+FSHS!R72+HMD!R59+'Human Nutrition'!R59</f>
        <v>2318635.73</v>
      </c>
      <c r="S59" s="457"/>
      <c r="T59" s="395">
        <f>Dean_HE!T63+ATID!T57+FSHS!T72+HMD!T59+'Human Nutrition'!T59+Kinesiology!T56</f>
        <v>1832289.93</v>
      </c>
      <c r="U59" s="457"/>
      <c r="V59" s="395">
        <f>Dean_HE!V63+ATID!V57+FSHS!V72+HMD!V59+'Human Nutrition'!V59+Kinesiology!V56</f>
        <v>2301081.4299999997</v>
      </c>
      <c r="W59" s="457"/>
      <c r="X59" s="395">
        <f>Dean_HE!X63+ATID!X57+FSHS!X72+HMD!X59+'Human Nutrition'!X59+Kinesiology!X56</f>
        <v>2565835.2600000002</v>
      </c>
      <c r="Y59" s="845"/>
      <c r="Z59" s="986"/>
      <c r="AB59" s="636"/>
      <c r="AC59" s="631">
        <f t="shared" ref="AC59:AC60" si="16">AVERAGE(X59,V59,T59,R59,P59)</f>
        <v>2493108.27</v>
      </c>
    </row>
    <row r="60" spans="1:29" thickBot="1" x14ac:dyDescent="0.25">
      <c r="A60" s="272"/>
      <c r="B60" s="421" t="s">
        <v>85</v>
      </c>
      <c r="C60" s="474"/>
      <c r="D60" s="473">
        <f>Dean_HE!D64+ATID!D58+FSHS!D73+HMD!D60+'Human Nutrition'!D61</f>
        <v>277986.01</v>
      </c>
      <c r="E60" s="817"/>
      <c r="F60" s="815">
        <f>Dean_HE!F64+ATID!F58+FSHS!F73+HMD!F60+'Human Nutrition'!F61</f>
        <v>465033.04000000004</v>
      </c>
      <c r="G60" s="819"/>
      <c r="H60" s="815">
        <f>Dean_HE!H64+ATID!H58+FSHS!H73+HMD!H60+'Human Nutrition'!H60</f>
        <v>716685.94</v>
      </c>
      <c r="I60" s="819"/>
      <c r="J60" s="988">
        <f>Dean_HE!J64+ATID!J58+FSHS!J73+HMD!J60+'Human Nutrition'!J60</f>
        <v>995038.23</v>
      </c>
      <c r="K60" s="257"/>
      <c r="L60" s="989">
        <f>Dean_HE!L64+ATID!L58+FSHS!L73+HMD!L60+'Human Nutrition'!L60</f>
        <v>973851.87</v>
      </c>
      <c r="M60" s="257"/>
      <c r="N60" s="989">
        <f>Dean_HE!N64+ATID!N58+FSHS!N73+HMD!N60+'Human Nutrition'!N60</f>
        <v>756706.49</v>
      </c>
      <c r="O60" s="257"/>
      <c r="P60" s="990">
        <f>Dean_HE!P64+ATID!P58+FSHS!P73+HMD!P60+'Human Nutrition'!P60</f>
        <v>805338</v>
      </c>
      <c r="Q60" s="257"/>
      <c r="R60" s="990">
        <f>Dean_HE!R64+ATID!R58+FSHS!R73+HMD!R60+'Human Nutrition'!R60</f>
        <v>920933.62</v>
      </c>
      <c r="S60" s="257"/>
      <c r="T60" s="990">
        <f>Dean_HE!T64+ATID!T58+FSHS!T73+HMD!T60+'Human Nutrition'!T60</f>
        <v>878318.24</v>
      </c>
      <c r="U60" s="257"/>
      <c r="V60" s="990">
        <f>Dean_HE!V64+ATID!V58+FSHS!V73+HMD!V60+'Human Nutrition'!V60</f>
        <v>889450.5</v>
      </c>
      <c r="W60" s="257"/>
      <c r="X60" s="990">
        <f>Dean_HE!X64+ATID!X58+FSHS!X73+HMD!X60+'Human Nutrition'!X60+Kinesiology!X57</f>
        <v>2069478.22</v>
      </c>
      <c r="Y60" s="846"/>
      <c r="Z60" s="987"/>
      <c r="AB60" s="615"/>
      <c r="AC60" s="635">
        <f t="shared" si="16"/>
        <v>1112703.716</v>
      </c>
    </row>
    <row r="61" spans="1:29" thickTop="1" x14ac:dyDescent="0.2">
      <c r="A61" s="4"/>
      <c r="B61" s="113" t="s">
        <v>87</v>
      </c>
      <c r="C61" s="71"/>
      <c r="D61" s="72"/>
      <c r="E61" s="71"/>
      <c r="F61" s="73"/>
      <c r="G61" s="224"/>
      <c r="H61" s="225"/>
      <c r="I61" s="224"/>
      <c r="J61" s="225"/>
      <c r="K61" s="224"/>
      <c r="L61" s="225"/>
      <c r="M61" s="224"/>
      <c r="N61" s="225"/>
      <c r="O61" s="224"/>
      <c r="P61" s="225"/>
      <c r="Q61" s="224"/>
      <c r="R61" s="225"/>
      <c r="S61" s="224"/>
      <c r="T61" s="225"/>
      <c r="U61" s="224"/>
      <c r="V61" s="225"/>
      <c r="W61" s="224"/>
      <c r="X61" s="225"/>
      <c r="Y61" s="224"/>
      <c r="Z61" s="225"/>
    </row>
    <row r="62" spans="1:29" ht="12" x14ac:dyDescent="0.2">
      <c r="B62" s="113"/>
      <c r="C62" s="71"/>
      <c r="D62" s="72"/>
      <c r="E62" s="71"/>
      <c r="F62" s="73"/>
      <c r="G62" s="71"/>
      <c r="H62" s="73"/>
      <c r="I62" s="224"/>
      <c r="J62" s="225"/>
      <c r="K62" s="224"/>
      <c r="L62" s="225"/>
      <c r="M62" s="224"/>
      <c r="N62" s="225"/>
      <c r="O62" s="224"/>
      <c r="P62" s="225"/>
      <c r="Q62" s="224"/>
      <c r="R62" s="225"/>
      <c r="S62" s="224"/>
      <c r="T62" s="225"/>
      <c r="U62" s="224"/>
      <c r="V62" s="225"/>
      <c r="W62" s="224"/>
      <c r="X62" s="225"/>
      <c r="Y62" s="224"/>
      <c r="Z62" s="225"/>
    </row>
    <row r="63" spans="1:29" s="95" customFormat="1" x14ac:dyDescent="0.2">
      <c r="A63" s="215" t="s">
        <v>46</v>
      </c>
      <c r="B63" s="282"/>
      <c r="C63" s="224"/>
      <c r="D63" s="439"/>
      <c r="E63" s="224"/>
      <c r="F63" s="225"/>
      <c r="G63" s="224"/>
      <c r="H63" s="225"/>
      <c r="I63" s="224"/>
      <c r="J63" s="225"/>
      <c r="K63" s="224"/>
      <c r="L63" s="225"/>
      <c r="M63" s="224"/>
      <c r="N63" s="225"/>
      <c r="O63" s="224"/>
      <c r="P63" s="225"/>
      <c r="Q63" s="224"/>
      <c r="R63" s="225"/>
      <c r="S63" s="224"/>
      <c r="T63" s="225"/>
      <c r="U63" s="224"/>
      <c r="V63" s="225" t="s">
        <v>19</v>
      </c>
      <c r="W63" s="224"/>
      <c r="X63" s="225"/>
      <c r="Y63" s="224"/>
      <c r="Z63" s="225"/>
      <c r="AB63" s="1"/>
      <c r="AC63" s="1"/>
    </row>
    <row r="64" spans="1:29" s="95" customFormat="1" thickBot="1" x14ac:dyDescent="0.25">
      <c r="B64" s="282"/>
      <c r="C64" s="224"/>
      <c r="D64" s="439"/>
      <c r="E64" s="224"/>
      <c r="F64" s="225"/>
      <c r="G64" s="224"/>
      <c r="H64" s="225"/>
      <c r="I64" s="224"/>
      <c r="J64" s="225"/>
      <c r="K64" s="224"/>
      <c r="L64" s="225"/>
      <c r="M64" s="224"/>
      <c r="N64" s="225"/>
      <c r="O64" s="224"/>
      <c r="P64" s="225"/>
      <c r="Q64" s="224"/>
      <c r="R64" s="225"/>
      <c r="S64" s="224"/>
      <c r="T64" s="225"/>
      <c r="U64" s="224"/>
      <c r="V64" s="225"/>
      <c r="W64" s="224"/>
      <c r="X64" s="225"/>
      <c r="Y64" s="224"/>
      <c r="Z64" s="225"/>
      <c r="AB64" s="1"/>
      <c r="AC64" s="1"/>
    </row>
    <row r="65" spans="2:29" s="95" customFormat="1" ht="14.25" thickTop="1" thickBot="1" x14ac:dyDescent="0.25">
      <c r="B65" s="440"/>
      <c r="C65" s="1286" t="s">
        <v>27</v>
      </c>
      <c r="D65" s="1317"/>
      <c r="E65" s="1286" t="s">
        <v>28</v>
      </c>
      <c r="F65" s="1317"/>
      <c r="G65" s="1286" t="s">
        <v>83</v>
      </c>
      <c r="H65" s="1317"/>
      <c r="I65" s="1286" t="s">
        <v>93</v>
      </c>
      <c r="J65" s="1254"/>
      <c r="K65" s="1286" t="s">
        <v>94</v>
      </c>
      <c r="L65" s="1254"/>
      <c r="M65" s="1286" t="s">
        <v>100</v>
      </c>
      <c r="N65" s="1255"/>
      <c r="O65" s="1254" t="s">
        <v>143</v>
      </c>
      <c r="P65" s="1255"/>
      <c r="Q65" s="1254" t="s">
        <v>149</v>
      </c>
      <c r="R65" s="1255"/>
      <c r="S65" s="1254" t="s">
        <v>167</v>
      </c>
      <c r="T65" s="1255"/>
      <c r="U65" s="1254" t="s">
        <v>181</v>
      </c>
      <c r="V65" s="1255"/>
      <c r="W65" s="1254" t="s">
        <v>194</v>
      </c>
      <c r="X65" s="1255"/>
      <c r="Y65" s="1254" t="s">
        <v>203</v>
      </c>
      <c r="Z65" s="1255"/>
      <c r="AB65" s="1259" t="s">
        <v>133</v>
      </c>
      <c r="AC65" s="1268"/>
    </row>
    <row r="66" spans="2:29" s="95" customFormat="1" ht="12" x14ac:dyDescent="0.2">
      <c r="B66" s="836" t="s">
        <v>31</v>
      </c>
      <c r="C66" s="229"/>
      <c r="D66" s="326"/>
      <c r="E66" s="301"/>
      <c r="F66" s="316"/>
      <c r="G66" s="301"/>
      <c r="H66" s="301"/>
      <c r="I66" s="229"/>
      <c r="J66" s="301"/>
      <c r="K66" s="229"/>
      <c r="L66" s="301"/>
      <c r="M66" s="229"/>
      <c r="N66" s="326"/>
      <c r="O66" s="301"/>
      <c r="P66" s="326"/>
      <c r="Q66" s="301"/>
      <c r="R66" s="326"/>
      <c r="S66" s="301"/>
      <c r="T66" s="326"/>
      <c r="U66" s="301"/>
      <c r="V66" s="326"/>
      <c r="W66" s="301"/>
      <c r="X66" s="326"/>
      <c r="Y66" s="301"/>
      <c r="Z66" s="326"/>
      <c r="AB66" s="523"/>
      <c r="AC66" s="272"/>
    </row>
    <row r="67" spans="2:29" s="95" customFormat="1" ht="12" x14ac:dyDescent="0.2">
      <c r="B67" s="285" t="s">
        <v>32</v>
      </c>
      <c r="C67" s="209"/>
      <c r="D67" s="210"/>
      <c r="E67" s="284"/>
      <c r="F67" s="305"/>
      <c r="G67" s="284"/>
      <c r="H67" s="101"/>
      <c r="I67" s="209"/>
      <c r="J67" s="101"/>
      <c r="K67" s="209"/>
      <c r="L67" s="101"/>
      <c r="M67" s="209"/>
      <c r="N67" s="305"/>
      <c r="O67" s="284"/>
      <c r="P67" s="305"/>
      <c r="Q67" s="284"/>
      <c r="R67" s="305"/>
      <c r="S67" s="284"/>
      <c r="T67" s="305"/>
      <c r="U67" s="284"/>
      <c r="V67" s="305"/>
      <c r="W67" s="284"/>
      <c r="X67" s="305"/>
      <c r="Y67" s="284"/>
      <c r="Z67" s="305"/>
      <c r="AB67" s="523"/>
      <c r="AC67" s="272"/>
    </row>
    <row r="68" spans="2:29" s="95" customFormat="1" ht="12" x14ac:dyDescent="0.2">
      <c r="B68" s="96" t="s">
        <v>33</v>
      </c>
      <c r="C68" s="292"/>
      <c r="D68" s="212">
        <f>Dean_HE!D71+ATID!D65+FSHS!D80+HMD!D67+'Human Nutrition'!D68</f>
        <v>55</v>
      </c>
      <c r="E68" s="211"/>
      <c r="F68" s="212">
        <f>Dean_HE!F71+ATID!F65+FSHS!F80+HMD!F67+'Human Nutrition'!F68</f>
        <v>56</v>
      </c>
      <c r="G68" s="211"/>
      <c r="H68" s="211">
        <f>Dean_HE!H71+ATID!H65+FSHS!H80+HMD!H67+'Human Nutrition'!H67</f>
        <v>53</v>
      </c>
      <c r="I68" s="292"/>
      <c r="J68" s="211">
        <f>Dean_HE!J71+ATID!J65+FSHS!J80+HMD!J67+'Human Nutrition'!J67</f>
        <v>56</v>
      </c>
      <c r="K68" s="292"/>
      <c r="L68" s="211">
        <f>Dean_HE!L71+ATID!L65+FSHS!L80+HMD!L67+'Human Nutrition'!L67</f>
        <v>56</v>
      </c>
      <c r="M68" s="292"/>
      <c r="N68" s="212">
        <f>Dean_HE!N71+ATID!N65+FSHS!N80+HMD!N67+'Human Nutrition'!N67</f>
        <v>62</v>
      </c>
      <c r="O68" s="211"/>
      <c r="P68" s="212">
        <f>Dean_HE!P71+ATID!P65+FSHS!P80+HMD!P67+'Human Nutrition'!P67</f>
        <v>64</v>
      </c>
      <c r="Q68" s="211"/>
      <c r="R68" s="212">
        <f>Dean_HE!R71+ATID!R65+FSHS!R80+HMD!R67+'Human Nutrition'!R67</f>
        <v>61</v>
      </c>
      <c r="S68" s="211"/>
      <c r="T68" s="212">
        <f>Dean_HE!T71+ATID!T65+FSHS!T80+HMD!T67+'Human Nutrition'!T67</f>
        <v>62</v>
      </c>
      <c r="U68" s="211"/>
      <c r="V68" s="212">
        <f>Dean_HE!V71+ATID!V65+FSHS!V80+HMD!V67+'Human Nutrition'!V67</f>
        <v>67</v>
      </c>
      <c r="W68" s="211"/>
      <c r="X68" s="212">
        <f>Dean_HE!X71+ATID!X65+FSHS!X80+HMD!X67+'Human Nutrition'!X67+Kinesiology!X64</f>
        <v>79</v>
      </c>
      <c r="Y68" s="211"/>
      <c r="Z68" s="212">
        <f>Dean_HE!Z71+ATID!Z65+FSHS!Z80+HMD!Z67+'Human Nutrition'!Z67+Kinesiology!Z64</f>
        <v>80</v>
      </c>
      <c r="AB68" s="636"/>
      <c r="AC68" s="626">
        <f t="shared" ref="AC68:AC69" si="17">AVERAGE(X68,V68,T68,R68,Z68)</f>
        <v>69.8</v>
      </c>
    </row>
    <row r="69" spans="2:29" s="95" customFormat="1" ht="12" x14ac:dyDescent="0.2">
      <c r="B69" s="96" t="s">
        <v>103</v>
      </c>
      <c r="C69" s="292"/>
      <c r="D69" s="305">
        <f>Dean_HE!D72+ATID!D66+FSHS!D81+HMD!D68+'Human Nutrition'!D69</f>
        <v>9</v>
      </c>
      <c r="E69" s="284"/>
      <c r="F69" s="305">
        <f>Dean_HE!F72+ATID!F66+FSHS!F81+HMD!F68+'Human Nutrition'!F69</f>
        <v>17</v>
      </c>
      <c r="G69" s="284"/>
      <c r="H69" s="101">
        <f>Dean_HE!H72+ATID!H66+FSHS!H81+HMD!H68+'Human Nutrition'!H68</f>
        <v>12</v>
      </c>
      <c r="I69" s="209"/>
      <c r="J69" s="101">
        <f>Dean_HE!J72+ATID!J66+FSHS!J81+HMD!J68+'Human Nutrition'!J68</f>
        <v>17</v>
      </c>
      <c r="K69" s="209"/>
      <c r="L69" s="101">
        <f>Dean_HE!L72+ATID!L66+FSHS!L81+HMD!L68+'Human Nutrition'!L68</f>
        <v>12</v>
      </c>
      <c r="M69" s="209"/>
      <c r="N69" s="305">
        <f>Dean_HE!N72+ATID!N66+FSHS!N81+HMD!N68+'Human Nutrition'!N68</f>
        <v>6</v>
      </c>
      <c r="O69" s="284"/>
      <c r="P69" s="305">
        <f>Dean_HE!P72+ATID!P66+FSHS!P81+HMD!P68+'Human Nutrition'!P68</f>
        <v>10</v>
      </c>
      <c r="Q69" s="284"/>
      <c r="R69" s="305">
        <f>Dean_HE!R72+ATID!R66+FSHS!R81+HMD!R68+'Human Nutrition'!R68</f>
        <v>11</v>
      </c>
      <c r="S69" s="284"/>
      <c r="T69" s="305">
        <f>Dean_HE!T72+ATID!T66+FSHS!T81+HMD!T68+'Human Nutrition'!T68</f>
        <v>17</v>
      </c>
      <c r="U69" s="284"/>
      <c r="V69" s="305">
        <f>Dean_HE!V72+ATID!V66+FSHS!V81+HMD!V68+'Human Nutrition'!V68</f>
        <v>18</v>
      </c>
      <c r="W69" s="284"/>
      <c r="X69" s="305">
        <f>Dean_HE!X72+ATID!X66+FSHS!X81+HMD!X68+'Human Nutrition'!X68+Kinesiology!X65</f>
        <v>22</v>
      </c>
      <c r="Y69" s="284"/>
      <c r="Z69" s="305">
        <f>Dean_HE!Z72+ATID!Z66+FSHS!Z81+HMD!Z68+'Human Nutrition'!Z68+Kinesiology!Z65</f>
        <v>22</v>
      </c>
      <c r="AB69" s="636"/>
      <c r="AC69" s="626">
        <f t="shared" si="17"/>
        <v>18</v>
      </c>
    </row>
    <row r="70" spans="2:29" s="95" customFormat="1" ht="12" x14ac:dyDescent="0.2">
      <c r="B70" s="285" t="s">
        <v>34</v>
      </c>
      <c r="C70" s="209"/>
      <c r="D70" s="212"/>
      <c r="E70" s="284"/>
      <c r="F70" s="212"/>
      <c r="G70" s="284"/>
      <c r="H70" s="211"/>
      <c r="I70" s="209"/>
      <c r="J70" s="211"/>
      <c r="K70" s="209"/>
      <c r="L70" s="211"/>
      <c r="M70" s="209"/>
      <c r="N70" s="212"/>
      <c r="O70" s="284"/>
      <c r="P70" s="212"/>
      <c r="Q70" s="284"/>
      <c r="R70" s="212"/>
      <c r="S70" s="284"/>
      <c r="T70" s="212"/>
      <c r="U70" s="284"/>
      <c r="V70" s="212"/>
      <c r="W70" s="284"/>
      <c r="X70" s="212"/>
      <c r="Y70" s="284"/>
      <c r="Z70" s="212"/>
      <c r="AB70" s="622"/>
      <c r="AC70" s="613"/>
    </row>
    <row r="71" spans="2:29" s="95" customFormat="1" ht="12" x14ac:dyDescent="0.2">
      <c r="B71" s="96" t="s">
        <v>33</v>
      </c>
      <c r="C71" s="297"/>
      <c r="D71" s="210">
        <f>Dean_HE!D74+ATID!D68+FSHS!D83+HMD!D70+'Human Nutrition'!D71</f>
        <v>14</v>
      </c>
      <c r="E71" s="208"/>
      <c r="F71" s="210">
        <f>Dean_HE!F74+ATID!F68+FSHS!F83+HMD!F70+'Human Nutrition'!F71</f>
        <v>13</v>
      </c>
      <c r="G71" s="208"/>
      <c r="H71" s="210">
        <f>Dean_HE!H74+ATID!H68+FSHS!H83+HMD!H70+'Human Nutrition'!H70</f>
        <v>15</v>
      </c>
      <c r="I71" s="297"/>
      <c r="J71" s="210">
        <f>Dean_HE!J74+ATID!J68+FSHS!J83+HMD!J70+'Human Nutrition'!J70</f>
        <v>13</v>
      </c>
      <c r="K71" s="297"/>
      <c r="L71" s="208">
        <f>Dean_HE!L74+ATID!L68+FSHS!L83+HMD!L70+'Human Nutrition'!L70</f>
        <v>18</v>
      </c>
      <c r="M71" s="297"/>
      <c r="N71" s="210">
        <f>Dean_HE!N74+ATID!N68+FSHS!N83+HMD!N70+'Human Nutrition'!N70</f>
        <v>15</v>
      </c>
      <c r="O71" s="208"/>
      <c r="P71" s="210">
        <f>Dean_HE!P74+ATID!P68+FSHS!P83+HMD!P70+'Human Nutrition'!P70</f>
        <v>14</v>
      </c>
      <c r="Q71" s="208"/>
      <c r="R71" s="210">
        <f>Dean_HE!R74+ATID!R68+FSHS!R83+HMD!R70+'Human Nutrition'!R70</f>
        <v>15</v>
      </c>
      <c r="S71" s="208"/>
      <c r="T71" s="210">
        <f>Dean_HE!T74+ATID!T68+FSHS!T83+HMD!T70+'Human Nutrition'!T70</f>
        <v>15</v>
      </c>
      <c r="U71" s="208"/>
      <c r="V71" s="210">
        <f>Dean_HE!V74+ATID!V68+FSHS!V83+HMD!V70+'Human Nutrition'!V70</f>
        <v>16</v>
      </c>
      <c r="W71" s="208"/>
      <c r="X71" s="210">
        <f>Dean_HE!X74+ATID!X68+FSHS!X83+HMD!X70+'Human Nutrition'!X70+Kinesiology!X67</f>
        <v>19</v>
      </c>
      <c r="Y71" s="208"/>
      <c r="Z71" s="210">
        <f>Dean_HE!Z74+ATID!Z68+FSHS!Z83+HMD!Z70+'Human Nutrition'!Z70+Kinesiology!Z67</f>
        <v>17</v>
      </c>
      <c r="AB71" s="636"/>
      <c r="AC71" s="626">
        <f t="shared" ref="AC71:AC73" si="18">AVERAGE(X71,V71,T71,R71,Z71)</f>
        <v>16.399999999999999</v>
      </c>
    </row>
    <row r="72" spans="2:29" s="95" customFormat="1" ht="12" x14ac:dyDescent="0.2">
      <c r="B72" s="837" t="s">
        <v>103</v>
      </c>
      <c r="C72" s="297"/>
      <c r="D72" s="212">
        <f>Dean_HE!D75+ATID!D69+FSHS!D84+HMD!D71+'Human Nutrition'!D72</f>
        <v>4</v>
      </c>
      <c r="E72" s="284"/>
      <c r="F72" s="212">
        <f>Dean_HE!F75+ATID!F69+FSHS!F84+HMD!F71+'Human Nutrition'!F72</f>
        <v>4</v>
      </c>
      <c r="G72" s="284"/>
      <c r="H72" s="212">
        <f>Dean_HE!H75+ATID!H69+FSHS!H84+HMD!H71+'Human Nutrition'!H71</f>
        <v>6</v>
      </c>
      <c r="I72" s="209"/>
      <c r="J72" s="212">
        <f>Dean_HE!J75+ATID!J69+FSHS!J84+HMD!J71+'Human Nutrition'!J71</f>
        <v>5</v>
      </c>
      <c r="K72" s="209"/>
      <c r="L72" s="211">
        <f>Dean_HE!L75+ATID!L69+FSHS!L84+HMD!L71+'Human Nutrition'!L71</f>
        <v>3</v>
      </c>
      <c r="M72" s="209"/>
      <c r="N72" s="212">
        <f>Dean_HE!N75+ATID!N69+FSHS!N84+HMD!N71+'Human Nutrition'!N71</f>
        <v>3</v>
      </c>
      <c r="O72" s="284"/>
      <c r="P72" s="212">
        <f>Dean_HE!P75+ATID!P69+FSHS!P84+HMD!P71+'Human Nutrition'!P71</f>
        <v>2</v>
      </c>
      <c r="Q72" s="284"/>
      <c r="R72" s="212">
        <f>Dean_HE!R75+ATID!R69+FSHS!R84+HMD!R71+'Human Nutrition'!R71</f>
        <v>4</v>
      </c>
      <c r="S72" s="284"/>
      <c r="T72" s="212">
        <f>Dean_HE!T75+ATID!T69+FSHS!T84+HMD!T71+'Human Nutrition'!T71</f>
        <v>6</v>
      </c>
      <c r="U72" s="284"/>
      <c r="V72" s="212">
        <f>Dean_HE!V75+ATID!V69+FSHS!V84+HMD!V71+'Human Nutrition'!V71</f>
        <v>5</v>
      </c>
      <c r="W72" s="284"/>
      <c r="X72" s="212">
        <f>Dean_HE!X75+ATID!X69+FSHS!X84+HMD!X71+'Human Nutrition'!X71+Kinesiology!X68</f>
        <v>3</v>
      </c>
      <c r="Y72" s="284"/>
      <c r="Z72" s="212">
        <f>Dean_HE!Z75+ATID!Z69+FSHS!Z84+HMD!Z71+'Human Nutrition'!Z71+Kinesiology!Z68</f>
        <v>3</v>
      </c>
      <c r="AB72" s="636"/>
      <c r="AC72" s="626">
        <f t="shared" si="18"/>
        <v>4.2</v>
      </c>
    </row>
    <row r="73" spans="2:29" s="95" customFormat="1" thickBot="1" x14ac:dyDescent="0.25">
      <c r="B73" s="838" t="s">
        <v>14</v>
      </c>
      <c r="C73" s="289"/>
      <c r="D73" s="327">
        <f>SUM(D68:D72)</f>
        <v>82</v>
      </c>
      <c r="E73" s="321"/>
      <c r="F73" s="327">
        <f>SUM(F68:F72)</f>
        <v>90</v>
      </c>
      <c r="G73" s="321"/>
      <c r="H73" s="327">
        <f>SUM(H68:H72)</f>
        <v>86</v>
      </c>
      <c r="I73" s="289"/>
      <c r="J73" s="327">
        <f>SUM(J68:J72)</f>
        <v>91</v>
      </c>
      <c r="K73" s="289"/>
      <c r="L73" s="361">
        <f>SUM(L68:L72)</f>
        <v>89</v>
      </c>
      <c r="M73" s="289"/>
      <c r="N73" s="327">
        <f>SUM(N68:N72)</f>
        <v>86</v>
      </c>
      <c r="O73" s="321"/>
      <c r="P73" s="327">
        <f>SUM(P68:P72)</f>
        <v>90</v>
      </c>
      <c r="Q73" s="321"/>
      <c r="R73" s="327">
        <f>SUM(R68:R72)</f>
        <v>91</v>
      </c>
      <c r="S73" s="321"/>
      <c r="T73" s="327">
        <f>SUM(T68:T72)</f>
        <v>100</v>
      </c>
      <c r="U73" s="321"/>
      <c r="V73" s="327">
        <f>SUM(V68:V72)</f>
        <v>106</v>
      </c>
      <c r="W73" s="321"/>
      <c r="X73" s="327">
        <f>SUM(X68:X72)</f>
        <v>123</v>
      </c>
      <c r="Y73" s="321"/>
      <c r="Z73" s="327">
        <f>SUM(Z68:Z72)</f>
        <v>122</v>
      </c>
      <c r="AB73" s="628"/>
      <c r="AC73" s="629">
        <f t="shared" si="18"/>
        <v>108.4</v>
      </c>
    </row>
    <row r="74" spans="2:29" s="95" customFormat="1" ht="12" x14ac:dyDescent="0.2">
      <c r="B74" s="839" t="s">
        <v>76</v>
      </c>
      <c r="C74" s="298" t="s">
        <v>74</v>
      </c>
      <c r="D74" s="441" t="s">
        <v>75</v>
      </c>
      <c r="E74" s="442" t="s">
        <v>74</v>
      </c>
      <c r="F74" s="443" t="s">
        <v>75</v>
      </c>
      <c r="G74" s="442" t="s">
        <v>74</v>
      </c>
      <c r="H74" s="368" t="s">
        <v>75</v>
      </c>
      <c r="I74" s="298" t="s">
        <v>74</v>
      </c>
      <c r="J74" s="368" t="s">
        <v>75</v>
      </c>
      <c r="K74" s="298" t="s">
        <v>74</v>
      </c>
      <c r="L74" s="368" t="s">
        <v>75</v>
      </c>
      <c r="M74" s="298" t="s">
        <v>74</v>
      </c>
      <c r="N74" s="443" t="s">
        <v>75</v>
      </c>
      <c r="O74" s="442" t="s">
        <v>74</v>
      </c>
      <c r="P74" s="443" t="s">
        <v>75</v>
      </c>
      <c r="Q74" s="442" t="s">
        <v>74</v>
      </c>
      <c r="R74" s="443" t="s">
        <v>75</v>
      </c>
      <c r="S74" s="442" t="s">
        <v>74</v>
      </c>
      <c r="T74" s="443" t="s">
        <v>75</v>
      </c>
      <c r="U74" s="442" t="s">
        <v>74</v>
      </c>
      <c r="V74" s="443" t="s">
        <v>75</v>
      </c>
      <c r="W74" s="442" t="s">
        <v>74</v>
      </c>
      <c r="X74" s="443" t="s">
        <v>75</v>
      </c>
      <c r="Y74" s="442" t="s">
        <v>74</v>
      </c>
      <c r="Z74" s="443" t="s">
        <v>75</v>
      </c>
      <c r="AB74" s="617" t="s">
        <v>74</v>
      </c>
      <c r="AC74" s="740" t="s">
        <v>75</v>
      </c>
    </row>
    <row r="75" spans="2:29" s="95" customFormat="1" ht="12" x14ac:dyDescent="0.2">
      <c r="B75" s="444" t="s">
        <v>57</v>
      </c>
      <c r="C75" s="278">
        <f>Dean_HE!C78+ATID!C72+FSHS!C87+HMD!C74+'Human Nutrition'!C75</f>
        <v>72</v>
      </c>
      <c r="D75" s="445">
        <f>C75/D$73</f>
        <v>0.87804878048780488</v>
      </c>
      <c r="E75" s="278">
        <f>Dean_HE!E78+ATID!E72+FSHS!E87+HMD!E74+'Human Nutrition'!E75</f>
        <v>78</v>
      </c>
      <c r="F75" s="446">
        <f t="shared" ref="F75:H82" si="19">E75/F$73</f>
        <v>0.8666666666666667</v>
      </c>
      <c r="G75" s="278">
        <f>Dean_HE!G78+ATID!G72+FSHS!G87+HMD!G74+'Human Nutrition'!G74</f>
        <v>74</v>
      </c>
      <c r="H75" s="369">
        <f t="shared" si="19"/>
        <v>0.86046511627906974</v>
      </c>
      <c r="I75" s="278">
        <f>Dean_HE!I78+ATID!I72+FSHS!I87+HMD!I74+'Human Nutrition'!I74</f>
        <v>78</v>
      </c>
      <c r="J75" s="369">
        <f t="shared" ref="J75:L82" si="20">I75/J$73</f>
        <v>0.8571428571428571</v>
      </c>
      <c r="K75" s="278">
        <f>Dean_HE!K78+ATID!K72+FSHS!K87+HMD!K74+'Human Nutrition'!K74</f>
        <v>76</v>
      </c>
      <c r="L75" s="369">
        <f t="shared" si="20"/>
        <v>0.8539325842696629</v>
      </c>
      <c r="M75" s="278">
        <f>Dean_HE!M78+ATID!M72+FSHS!M87+HMD!M74+'Human Nutrition'!M74</f>
        <v>75</v>
      </c>
      <c r="N75" s="446">
        <f t="shared" ref="N75:P82" si="21">M75/N$73</f>
        <v>0.87209302325581395</v>
      </c>
      <c r="O75" s="384">
        <f>Dean_HE!O78+ATID!O72+FSHS!O87+HMD!O74+'Human Nutrition'!O74</f>
        <v>79</v>
      </c>
      <c r="P75" s="446">
        <f t="shared" si="21"/>
        <v>0.87777777777777777</v>
      </c>
      <c r="Q75" s="384">
        <f>Dean_HE!Q78+ATID!Q72+FSHS!Q87+HMD!Q74+'Human Nutrition'!Q74</f>
        <v>79</v>
      </c>
      <c r="R75" s="446">
        <f t="shared" ref="R75:R80" si="22">Q75/R$73</f>
        <v>0.86813186813186816</v>
      </c>
      <c r="S75" s="384">
        <f>Dean_HE!S78+ATID!S72+FSHS!S87+HMD!S74+'Human Nutrition'!S74</f>
        <v>85</v>
      </c>
      <c r="T75" s="446">
        <f t="shared" ref="T75:T80" si="23">S75/T$73</f>
        <v>0.85</v>
      </c>
      <c r="U75" s="384">
        <f>Dean_HE!U78+ATID!U72+FSHS!U87+HMD!U74+'Human Nutrition'!U74</f>
        <v>90</v>
      </c>
      <c r="V75" s="446">
        <f t="shared" ref="V75:V80" si="24">U75/V$73</f>
        <v>0.84905660377358494</v>
      </c>
      <c r="W75" s="384">
        <f>Dean_HE!W78+ATID!W72+FSHS!W87+HMD!W74+'Human Nutrition'!W74+Kinesiology!W71</f>
        <v>105</v>
      </c>
      <c r="X75" s="446">
        <f t="shared" ref="X75:X80" si="25">W75/X$73</f>
        <v>0.85365853658536583</v>
      </c>
      <c r="Y75" s="384">
        <f>Dean_HE!Y78+ATID!Y72+FSHS!Y87+HMD!Y74+'Human Nutrition'!Y74+Kinesiology!Y71</f>
        <v>109</v>
      </c>
      <c r="Z75" s="446">
        <f t="shared" ref="Z75:Z80" si="26">Y75/Z$73</f>
        <v>0.89344262295081966</v>
      </c>
      <c r="AB75" s="662">
        <f t="shared" ref="AB75:AB82" si="27">AVERAGE(W75,U75,S75,Q75,Y75)</f>
        <v>93.6</v>
      </c>
      <c r="AC75" s="665">
        <f t="shared" ref="AC75:AC82" si="28">AVERAGE(X75,V75,T75,R75,Z75)</f>
        <v>0.8628579262883278</v>
      </c>
    </row>
    <row r="76" spans="2:29" s="95" customFormat="1" ht="12" x14ac:dyDescent="0.2">
      <c r="B76" s="447" t="s">
        <v>58</v>
      </c>
      <c r="C76" s="279">
        <f>Dean_HE!C79+ATID!C73+FSHS!C88+HMD!C75+'Human Nutrition'!C76</f>
        <v>2</v>
      </c>
      <c r="D76" s="445">
        <f t="shared" ref="D76:D94" si="29">C76/$D$73</f>
        <v>2.4390243902439025E-2</v>
      </c>
      <c r="E76" s="279">
        <f>Dean_HE!E79+ATID!E73+FSHS!E88+HMD!E75+'Human Nutrition'!E76</f>
        <v>4</v>
      </c>
      <c r="F76" s="448">
        <f t="shared" si="19"/>
        <v>4.4444444444444446E-2</v>
      </c>
      <c r="G76" s="279">
        <f>Dean_HE!G79+ATID!G73+FSHS!G88+HMD!G75+'Human Nutrition'!G75</f>
        <v>2</v>
      </c>
      <c r="H76" s="370">
        <f t="shared" si="19"/>
        <v>2.3255813953488372E-2</v>
      </c>
      <c r="I76" s="279">
        <f>Dean_HE!I79+ATID!I73+FSHS!I88+HMD!I75+'Human Nutrition'!I75</f>
        <v>2</v>
      </c>
      <c r="J76" s="370">
        <f t="shared" si="20"/>
        <v>2.197802197802198E-2</v>
      </c>
      <c r="K76" s="279">
        <f>Dean_HE!K79+ATID!K73+FSHS!K88+HMD!K75+'Human Nutrition'!K75</f>
        <v>2</v>
      </c>
      <c r="L76" s="370">
        <f t="shared" si="20"/>
        <v>2.247191011235955E-2</v>
      </c>
      <c r="M76" s="279">
        <f>Dean_HE!M79+ATID!M73+FSHS!M88+HMD!M75+'Human Nutrition'!M75</f>
        <v>2</v>
      </c>
      <c r="N76" s="448">
        <f t="shared" si="21"/>
        <v>2.3255813953488372E-2</v>
      </c>
      <c r="O76" s="385">
        <f>Dean_HE!O79+ATID!O73+FSHS!O88+HMD!O75+'Human Nutrition'!O75</f>
        <v>2</v>
      </c>
      <c r="P76" s="448">
        <f t="shared" si="21"/>
        <v>2.2222222222222223E-2</v>
      </c>
      <c r="Q76" s="385">
        <f>Dean_HE!Q79+ATID!Q73+FSHS!Q88+HMD!Q75+'Human Nutrition'!Q75</f>
        <v>2</v>
      </c>
      <c r="R76" s="448">
        <f t="shared" si="22"/>
        <v>2.197802197802198E-2</v>
      </c>
      <c r="S76" s="385">
        <f>Dean_HE!S79+ATID!S73+FSHS!S88+HMD!S75+'Human Nutrition'!S75</f>
        <v>2</v>
      </c>
      <c r="T76" s="448">
        <f t="shared" si="23"/>
        <v>0.02</v>
      </c>
      <c r="U76" s="385">
        <f>Dean_HE!U79+ATID!U73+FSHS!U88+HMD!U75+'Human Nutrition'!U75</f>
        <v>2</v>
      </c>
      <c r="V76" s="448">
        <f t="shared" si="24"/>
        <v>1.8867924528301886E-2</v>
      </c>
      <c r="W76" s="385">
        <f>Dean_HE!W79+ATID!W73+FSHS!W88+HMD!W75+'Human Nutrition'!W75+Kinesiology!W72</f>
        <v>2</v>
      </c>
      <c r="X76" s="448">
        <f t="shared" si="25"/>
        <v>1.6260162601626018E-2</v>
      </c>
      <c r="Y76" s="385">
        <f>Dean_HE!Y79+ATID!Y73+FSHS!Y88+HMD!Y75+'Human Nutrition'!Y75+Kinesiology!Y72</f>
        <v>1</v>
      </c>
      <c r="Z76" s="448">
        <f t="shared" si="26"/>
        <v>8.1967213114754103E-3</v>
      </c>
      <c r="AB76" s="662">
        <f t="shared" si="27"/>
        <v>1.8</v>
      </c>
      <c r="AC76" s="665">
        <f t="shared" si="28"/>
        <v>1.7060566083885058E-2</v>
      </c>
    </row>
    <row r="77" spans="2:29" s="95" customFormat="1" ht="12" x14ac:dyDescent="0.2">
      <c r="B77" s="447" t="s">
        <v>59</v>
      </c>
      <c r="C77" s="279">
        <f>Dean_HE!C80+ATID!C74+FSHS!C89+HMD!C76+'Human Nutrition'!C77</f>
        <v>3</v>
      </c>
      <c r="D77" s="445">
        <f t="shared" si="29"/>
        <v>3.6585365853658534E-2</v>
      </c>
      <c r="E77" s="279">
        <f>Dean_HE!E80+ATID!E74+FSHS!E89+HMD!E76+'Human Nutrition'!E77</f>
        <v>3</v>
      </c>
      <c r="F77" s="448">
        <f t="shared" si="19"/>
        <v>3.3333333333333333E-2</v>
      </c>
      <c r="G77" s="279">
        <f>Dean_HE!G80+ATID!G74+FSHS!G89+HMD!G76+'Human Nutrition'!G76</f>
        <v>4</v>
      </c>
      <c r="H77" s="370">
        <f t="shared" si="19"/>
        <v>4.6511627906976744E-2</v>
      </c>
      <c r="I77" s="279">
        <f>Dean_HE!I80+ATID!I74+FSHS!I89+HMD!I76+'Human Nutrition'!I76</f>
        <v>3</v>
      </c>
      <c r="J77" s="370">
        <f t="shared" si="20"/>
        <v>3.2967032967032968E-2</v>
      </c>
      <c r="K77" s="279">
        <f>Dean_HE!K80+ATID!K74+FSHS!K89+HMD!K76+'Human Nutrition'!K76</f>
        <v>3</v>
      </c>
      <c r="L77" s="370">
        <f t="shared" si="20"/>
        <v>3.3707865168539325E-2</v>
      </c>
      <c r="M77" s="279">
        <f>Dean_HE!M80+ATID!M74+FSHS!M89+HMD!M76+'Human Nutrition'!M76</f>
        <v>2</v>
      </c>
      <c r="N77" s="448">
        <f t="shared" si="21"/>
        <v>2.3255813953488372E-2</v>
      </c>
      <c r="O77" s="385">
        <f>Dean_HE!O80+ATID!O74+FSHS!O89+HMD!O76+'Human Nutrition'!O76</f>
        <v>2</v>
      </c>
      <c r="P77" s="448">
        <f t="shared" si="21"/>
        <v>2.2222222222222223E-2</v>
      </c>
      <c r="Q77" s="385">
        <f>Dean_HE!Q80+ATID!Q74+FSHS!Q89+HMD!Q76+'Human Nutrition'!Q76</f>
        <v>3</v>
      </c>
      <c r="R77" s="448">
        <f t="shared" si="22"/>
        <v>3.2967032967032968E-2</v>
      </c>
      <c r="S77" s="385">
        <f>Dean_HE!S80+ATID!S74+FSHS!S89+HMD!S76+'Human Nutrition'!S76</f>
        <v>2</v>
      </c>
      <c r="T77" s="448">
        <f t="shared" si="23"/>
        <v>0.02</v>
      </c>
      <c r="U77" s="385">
        <f>Dean_HE!U80+ATID!U74+FSHS!U89+HMD!U76+'Human Nutrition'!U76</f>
        <v>2</v>
      </c>
      <c r="V77" s="448">
        <f t="shared" si="24"/>
        <v>1.8867924528301886E-2</v>
      </c>
      <c r="W77" s="385">
        <f>Dean_HE!W80+ATID!W74+FSHS!W89+HMD!W76+'Human Nutrition'!W76+Kinesiology!W73</f>
        <v>3</v>
      </c>
      <c r="X77" s="448">
        <f t="shared" si="25"/>
        <v>2.4390243902439025E-2</v>
      </c>
      <c r="Y77" s="385">
        <f>Dean_HE!Y80+ATID!Y74+FSHS!Y89+HMD!Y76+'Human Nutrition'!Y76+Kinesiology!Y73</f>
        <v>3</v>
      </c>
      <c r="Z77" s="448">
        <f t="shared" si="26"/>
        <v>2.4590163934426229E-2</v>
      </c>
      <c r="AB77" s="662">
        <f t="shared" si="27"/>
        <v>2.6</v>
      </c>
      <c r="AC77" s="665">
        <f t="shared" si="28"/>
        <v>2.416307306644002E-2</v>
      </c>
    </row>
    <row r="78" spans="2:29" s="95" customFormat="1" ht="12" x14ac:dyDescent="0.2">
      <c r="B78" s="447" t="s">
        <v>60</v>
      </c>
      <c r="C78" s="279">
        <f>Dean_HE!C81+ATID!C75+FSHS!C90+HMD!C77+'Human Nutrition'!C78</f>
        <v>0</v>
      </c>
      <c r="D78" s="445">
        <f t="shared" si="29"/>
        <v>0</v>
      </c>
      <c r="E78" s="279">
        <f>Dean_HE!E81+ATID!E75+FSHS!E90+HMD!E77+'Human Nutrition'!E78</f>
        <v>0</v>
      </c>
      <c r="F78" s="448">
        <f t="shared" si="19"/>
        <v>0</v>
      </c>
      <c r="G78" s="279">
        <f>Dean_HE!G81+ATID!G75+FSHS!G90+HMD!G77+'Human Nutrition'!G77</f>
        <v>0</v>
      </c>
      <c r="H78" s="370">
        <f t="shared" si="19"/>
        <v>0</v>
      </c>
      <c r="I78" s="279">
        <f>Dean_HE!I81+ATID!I75+FSHS!I90+HMD!I77+'Human Nutrition'!I77</f>
        <v>0</v>
      </c>
      <c r="J78" s="370">
        <f t="shared" si="20"/>
        <v>0</v>
      </c>
      <c r="K78" s="279">
        <f>Dean_HE!K81+ATID!K75+FSHS!K90+HMD!K77+'Human Nutrition'!K77</f>
        <v>0</v>
      </c>
      <c r="L78" s="370">
        <f t="shared" si="20"/>
        <v>0</v>
      </c>
      <c r="M78" s="279">
        <f>Dean_HE!M81+ATID!M75+FSHS!M90+HMD!M77+'Human Nutrition'!M77</f>
        <v>0</v>
      </c>
      <c r="N78" s="448">
        <f t="shared" si="21"/>
        <v>0</v>
      </c>
      <c r="O78" s="385">
        <f>Dean_HE!O81+ATID!O75+FSHS!O90+HMD!O77+'Human Nutrition'!O77</f>
        <v>0</v>
      </c>
      <c r="P78" s="448">
        <f t="shared" si="21"/>
        <v>0</v>
      </c>
      <c r="Q78" s="385">
        <f>Dean_HE!Q81+ATID!Q75+FSHS!Q90+HMD!Q77+'Human Nutrition'!Q77</f>
        <v>0</v>
      </c>
      <c r="R78" s="448">
        <f t="shared" si="22"/>
        <v>0</v>
      </c>
      <c r="S78" s="385">
        <f>Dean_HE!S81+ATID!S75+FSHS!S90+HMD!S77+'Human Nutrition'!S77</f>
        <v>0</v>
      </c>
      <c r="T78" s="448">
        <f t="shared" si="23"/>
        <v>0</v>
      </c>
      <c r="U78" s="385">
        <f>Dean_HE!U81+ATID!U75+FSHS!U90+HMD!U77+'Human Nutrition'!U77</f>
        <v>0</v>
      </c>
      <c r="V78" s="448">
        <f t="shared" si="24"/>
        <v>0</v>
      </c>
      <c r="W78" s="385">
        <f>Dean_HE!W81+ATID!W75+FSHS!W90+HMD!W77+'Human Nutrition'!W77+Kinesiology!W74</f>
        <v>0</v>
      </c>
      <c r="X78" s="448">
        <f t="shared" si="25"/>
        <v>0</v>
      </c>
      <c r="Y78" s="385">
        <f>Dean_HE!Y81+ATID!Y75+FSHS!Y90+HMD!Y77+'Human Nutrition'!Y77+Kinesiology!Y74</f>
        <v>0</v>
      </c>
      <c r="Z78" s="448">
        <f t="shared" si="26"/>
        <v>0</v>
      </c>
      <c r="AB78" s="662">
        <f t="shared" si="27"/>
        <v>0</v>
      </c>
      <c r="AC78" s="665">
        <f t="shared" si="28"/>
        <v>0</v>
      </c>
    </row>
    <row r="79" spans="2:29" s="95" customFormat="1" ht="12" x14ac:dyDescent="0.2">
      <c r="B79" s="447" t="s">
        <v>61</v>
      </c>
      <c r="C79" s="279">
        <f>Dean_HE!C82+ATID!C76+FSHS!C91+HMD!C78+'Human Nutrition'!C79</f>
        <v>1</v>
      </c>
      <c r="D79" s="445">
        <f t="shared" si="29"/>
        <v>1.2195121951219513E-2</v>
      </c>
      <c r="E79" s="279">
        <f>Dean_HE!E82+ATID!E76+FSHS!E91+HMD!E78+'Human Nutrition'!E79</f>
        <v>3</v>
      </c>
      <c r="F79" s="448">
        <f t="shared" si="19"/>
        <v>3.3333333333333333E-2</v>
      </c>
      <c r="G79" s="279">
        <f>Dean_HE!G82+ATID!G76+FSHS!G91+HMD!G78+'Human Nutrition'!G78</f>
        <v>3</v>
      </c>
      <c r="H79" s="370">
        <f t="shared" si="19"/>
        <v>3.4883720930232558E-2</v>
      </c>
      <c r="I79" s="279">
        <f>Dean_HE!I82+ATID!I76+FSHS!I91+HMD!I78+'Human Nutrition'!I78</f>
        <v>3</v>
      </c>
      <c r="J79" s="370">
        <f t="shared" si="20"/>
        <v>3.2967032967032968E-2</v>
      </c>
      <c r="K79" s="279">
        <f>Dean_HE!K82+ATID!K76+FSHS!K91+HMD!K78+'Human Nutrition'!K78</f>
        <v>3</v>
      </c>
      <c r="L79" s="370">
        <f t="shared" si="20"/>
        <v>3.3707865168539325E-2</v>
      </c>
      <c r="M79" s="279">
        <f>Dean_HE!M82+ATID!M76+FSHS!M91+HMD!M78+'Human Nutrition'!M78</f>
        <v>6</v>
      </c>
      <c r="N79" s="448">
        <f t="shared" si="21"/>
        <v>6.9767441860465115E-2</v>
      </c>
      <c r="O79" s="385">
        <f>Dean_HE!O82+ATID!O76+FSHS!O91+HMD!O78+'Human Nutrition'!O78</f>
        <v>6</v>
      </c>
      <c r="P79" s="448">
        <f t="shared" si="21"/>
        <v>6.6666666666666666E-2</v>
      </c>
      <c r="Q79" s="385">
        <f>Dean_HE!Q82+ATID!Q76+FSHS!Q91+HMD!Q78+'Human Nutrition'!Q78</f>
        <v>6</v>
      </c>
      <c r="R79" s="448">
        <f t="shared" si="22"/>
        <v>6.5934065934065936E-2</v>
      </c>
      <c r="S79" s="385">
        <f>Dean_HE!S82+ATID!S76+FSHS!S91+HMD!S78+'Human Nutrition'!S78</f>
        <v>7</v>
      </c>
      <c r="T79" s="448">
        <f t="shared" si="23"/>
        <v>7.0000000000000007E-2</v>
      </c>
      <c r="U79" s="385">
        <f>Dean_HE!U82+ATID!U76+FSHS!U91+HMD!U78+'Human Nutrition'!U78</f>
        <v>7</v>
      </c>
      <c r="V79" s="448">
        <f t="shared" si="24"/>
        <v>6.6037735849056603E-2</v>
      </c>
      <c r="W79" s="385">
        <f>Dean_HE!W82+ATID!W76+FSHS!W91+HMD!W78+'Human Nutrition'!W78+Kinesiology!W75</f>
        <v>6</v>
      </c>
      <c r="X79" s="448">
        <f t="shared" si="25"/>
        <v>4.878048780487805E-2</v>
      </c>
      <c r="Y79" s="385">
        <f>Dean_HE!Y82+ATID!Y76+FSHS!Y91+HMD!Y78+'Human Nutrition'!Y78+Kinesiology!Y75</f>
        <v>4</v>
      </c>
      <c r="Z79" s="448">
        <f t="shared" si="26"/>
        <v>3.2786885245901641E-2</v>
      </c>
      <c r="AB79" s="662">
        <f t="shared" si="27"/>
        <v>6</v>
      </c>
      <c r="AC79" s="665">
        <f t="shared" si="28"/>
        <v>5.6707834966780446E-2</v>
      </c>
    </row>
    <row r="80" spans="2:29" s="95" customFormat="1" ht="12" x14ac:dyDescent="0.2">
      <c r="B80" s="447" t="s">
        <v>62</v>
      </c>
      <c r="C80" s="279">
        <f>Dean_HE!C83+ATID!C77+FSHS!C92+HMD!C79+'Human Nutrition'!C81</f>
        <v>4</v>
      </c>
      <c r="D80" s="445">
        <f t="shared" si="29"/>
        <v>4.878048780487805E-2</v>
      </c>
      <c r="E80" s="279">
        <f>Dean_HE!E83+ATID!E77+FSHS!E92+HMD!E79+'Human Nutrition'!E81</f>
        <v>2</v>
      </c>
      <c r="F80" s="448">
        <f t="shared" si="19"/>
        <v>2.2222222222222223E-2</v>
      </c>
      <c r="G80" s="279">
        <f>Dean_HE!G83+ATID!G77+FSHS!G92+HMD!G79+'Human Nutrition'!G79</f>
        <v>2</v>
      </c>
      <c r="H80" s="370">
        <f t="shared" si="19"/>
        <v>2.3255813953488372E-2</v>
      </c>
      <c r="I80" s="279">
        <f>Dean_HE!I83+ATID!I77+FSHS!I92+HMD!I79+'Human Nutrition'!I79</f>
        <v>5</v>
      </c>
      <c r="J80" s="370">
        <f t="shared" si="20"/>
        <v>5.4945054945054944E-2</v>
      </c>
      <c r="K80" s="279">
        <f>Dean_HE!K83+ATID!K77+FSHS!K92+HMD!K79+'Human Nutrition'!K79</f>
        <v>2</v>
      </c>
      <c r="L80" s="370">
        <f t="shared" si="20"/>
        <v>2.247191011235955E-2</v>
      </c>
      <c r="M80" s="279">
        <f>Dean_HE!M83+ATID!M77+FSHS!M92+HMD!M79+'Human Nutrition'!M79</f>
        <v>1</v>
      </c>
      <c r="N80" s="448">
        <f t="shared" si="21"/>
        <v>1.1627906976744186E-2</v>
      </c>
      <c r="O80" s="385">
        <f>Dean_HE!O83+ATID!O77+FSHS!O92+HMD!O79+'Human Nutrition'!O79</f>
        <v>1</v>
      </c>
      <c r="P80" s="448">
        <f t="shared" si="21"/>
        <v>1.1111111111111112E-2</v>
      </c>
      <c r="Q80" s="385">
        <f>Dean_HE!Q83+ATID!Q77+FSHS!Q92+HMD!Q79+'Human Nutrition'!Q79</f>
        <v>1</v>
      </c>
      <c r="R80" s="448">
        <f t="shared" si="22"/>
        <v>1.098901098901099E-2</v>
      </c>
      <c r="S80" s="385">
        <f>Dean_HE!S83+ATID!S77+FSHS!S92+HMD!S79+'Human Nutrition'!S79</f>
        <v>3</v>
      </c>
      <c r="T80" s="448">
        <f t="shared" si="23"/>
        <v>0.03</v>
      </c>
      <c r="U80" s="385">
        <f>Dean_HE!U83+ATID!U77+FSHS!U92+HMD!U79+'Human Nutrition'!U79</f>
        <v>4</v>
      </c>
      <c r="V80" s="448">
        <f t="shared" si="24"/>
        <v>3.7735849056603772E-2</v>
      </c>
      <c r="W80" s="385">
        <f>Dean_HE!W83+ATID!W77+FSHS!W92+HMD!W79+'Human Nutrition'!W79+Kinesiology!W76</f>
        <v>5</v>
      </c>
      <c r="X80" s="448">
        <f t="shared" si="25"/>
        <v>4.065040650406504E-2</v>
      </c>
      <c r="Y80" s="385">
        <f>Dean_HE!Y83+ATID!Y77+FSHS!Y92+HMD!Y79+'Human Nutrition'!Y79+Kinesiology!Y76</f>
        <v>3</v>
      </c>
      <c r="Z80" s="448">
        <f t="shared" si="26"/>
        <v>2.4590163934426229E-2</v>
      </c>
      <c r="AB80" s="662">
        <f t="shared" si="27"/>
        <v>3.2</v>
      </c>
      <c r="AC80" s="665">
        <f t="shared" si="28"/>
        <v>2.8793086096821206E-2</v>
      </c>
    </row>
    <row r="81" spans="1:31" s="95" customFormat="1" ht="12" x14ac:dyDescent="0.2">
      <c r="B81" s="447" t="s">
        <v>155</v>
      </c>
      <c r="C81" s="279"/>
      <c r="D81" s="445"/>
      <c r="E81" s="279"/>
      <c r="F81" s="448"/>
      <c r="G81" s="922"/>
      <c r="H81" s="923"/>
      <c r="I81" s="922"/>
      <c r="J81" s="923"/>
      <c r="K81" s="922"/>
      <c r="L81" s="923"/>
      <c r="M81" s="922"/>
      <c r="N81" s="924"/>
      <c r="O81" s="925"/>
      <c r="P81" s="924"/>
      <c r="Q81" s="385">
        <f>Dean_HE!Q84+ATID!Q78+FSHS!Q93+HMD!Q80+'Human Nutrition'!Q80</f>
        <v>0</v>
      </c>
      <c r="R81" s="448">
        <f>Q81/R$73</f>
        <v>0</v>
      </c>
      <c r="S81" s="385">
        <f>Dean_HE!S84+ATID!S78+FSHS!S93+HMD!S80+'Human Nutrition'!S80</f>
        <v>0</v>
      </c>
      <c r="T81" s="448">
        <f>S81/T$73</f>
        <v>0</v>
      </c>
      <c r="U81" s="385">
        <f>Dean_HE!U84+ATID!U78+FSHS!U93+HMD!U80+'Human Nutrition'!U80</f>
        <v>0</v>
      </c>
      <c r="V81" s="448">
        <f>U81/V$73</f>
        <v>0</v>
      </c>
      <c r="W81" s="385">
        <f>Dean_HE!W84+ATID!W78+FSHS!W93+HMD!W80+'Human Nutrition'!W80+Kinesiology!W77</f>
        <v>1</v>
      </c>
      <c r="X81" s="448">
        <f>W81/X$73</f>
        <v>8.130081300813009E-3</v>
      </c>
      <c r="Y81" s="385">
        <f>Dean_HE!Y84+ATID!Y78+FSHS!Y93+HMD!Y80+'Human Nutrition'!Y80+Kinesiology!Y77</f>
        <v>1</v>
      </c>
      <c r="Z81" s="448">
        <f>Y81/Z$73</f>
        <v>8.1967213114754103E-3</v>
      </c>
      <c r="AB81" s="662">
        <f t="shared" si="27"/>
        <v>0.4</v>
      </c>
      <c r="AC81" s="665">
        <f t="shared" si="28"/>
        <v>3.265360522457684E-3</v>
      </c>
    </row>
    <row r="82" spans="1:31" s="95" customFormat="1" ht="12" x14ac:dyDescent="0.2">
      <c r="B82" s="444" t="s">
        <v>63</v>
      </c>
      <c r="C82" s="278">
        <f>Dean_HE!C85+ATID!C79+FSHS!C94+HMD!C81+'Human Nutrition'!C82</f>
        <v>0</v>
      </c>
      <c r="D82" s="445">
        <f t="shared" si="29"/>
        <v>0</v>
      </c>
      <c r="E82" s="278">
        <f>Dean_HE!E85+ATID!E79+FSHS!E94+HMD!E81+'Human Nutrition'!E82</f>
        <v>0</v>
      </c>
      <c r="F82" s="446">
        <f t="shared" si="19"/>
        <v>0</v>
      </c>
      <c r="G82" s="278">
        <f>Dean_HE!G85+ATID!G79+FSHS!G94+HMD!G81+'Human Nutrition'!G81</f>
        <v>0</v>
      </c>
      <c r="H82" s="369">
        <f t="shared" si="19"/>
        <v>0</v>
      </c>
      <c r="I82" s="278">
        <f>Dean_HE!I85+ATID!I79+FSHS!I94+HMD!I81+'Human Nutrition'!I81</f>
        <v>0</v>
      </c>
      <c r="J82" s="369">
        <f t="shared" si="20"/>
        <v>0</v>
      </c>
      <c r="K82" s="278">
        <f>Dean_HE!K85+ATID!K79+FSHS!K94+HMD!K81+'Human Nutrition'!K81</f>
        <v>0</v>
      </c>
      <c r="L82" s="369">
        <f t="shared" si="20"/>
        <v>0</v>
      </c>
      <c r="M82" s="278">
        <f>Dean_HE!M85+ATID!M79+FSHS!M94+HMD!M81+'Human Nutrition'!M81</f>
        <v>0</v>
      </c>
      <c r="N82" s="446">
        <f t="shared" si="21"/>
        <v>0</v>
      </c>
      <c r="O82" s="384">
        <f>Dean_HE!O85+ATID!O79+FSHS!O94+HMD!O81+'Human Nutrition'!O81</f>
        <v>0</v>
      </c>
      <c r="P82" s="446">
        <f t="shared" si="21"/>
        <v>0</v>
      </c>
      <c r="Q82" s="384">
        <f>Dean_HE!Q85+ATID!Q79+FSHS!Q94+HMD!Q81+'Human Nutrition'!Q81</f>
        <v>0</v>
      </c>
      <c r="R82" s="446">
        <f>Q82/R$73</f>
        <v>0</v>
      </c>
      <c r="S82" s="384">
        <f>Dean_HE!S85+ATID!S79+FSHS!S94+HMD!S81+'Human Nutrition'!S81</f>
        <v>1</v>
      </c>
      <c r="T82" s="446">
        <f>S82/T$73</f>
        <v>0.01</v>
      </c>
      <c r="U82" s="384">
        <f>Dean_HE!U85+ATID!U79+FSHS!U94+HMD!U81+'Human Nutrition'!U81</f>
        <v>1</v>
      </c>
      <c r="V82" s="446">
        <f>U82/V$73</f>
        <v>9.433962264150943E-3</v>
      </c>
      <c r="W82" s="384">
        <f>Dean_HE!W85+ATID!W79+FSHS!W94+HMD!W81+'Human Nutrition'!W81+Kinesiology!W78</f>
        <v>1</v>
      </c>
      <c r="X82" s="446">
        <f>W82/X$73</f>
        <v>8.130081300813009E-3</v>
      </c>
      <c r="Y82" s="384">
        <f>Dean_HE!Y85+ATID!Y79+FSHS!Y94+HMD!Y81+'Human Nutrition'!Y81+Kinesiology!Y78</f>
        <v>1</v>
      </c>
      <c r="Z82" s="446">
        <f>Y82/Z$73</f>
        <v>8.1967213114754103E-3</v>
      </c>
      <c r="AB82" s="662">
        <f t="shared" si="27"/>
        <v>0.8</v>
      </c>
      <c r="AC82" s="665">
        <f t="shared" si="28"/>
        <v>7.1521529752878732E-3</v>
      </c>
    </row>
    <row r="83" spans="1:31" s="95" customFormat="1" ht="12" x14ac:dyDescent="0.2">
      <c r="B83" s="449" t="s">
        <v>77</v>
      </c>
      <c r="C83" s="279"/>
      <c r="D83" s="445"/>
      <c r="E83" s="279"/>
      <c r="F83" s="450"/>
      <c r="G83" s="279"/>
      <c r="H83" s="371"/>
      <c r="I83" s="279"/>
      <c r="J83" s="371"/>
      <c r="K83" s="279"/>
      <c r="L83" s="371"/>
      <c r="M83" s="279"/>
      <c r="N83" s="450"/>
      <c r="O83" s="385"/>
      <c r="P83" s="450"/>
      <c r="Q83" s="385"/>
      <c r="R83" s="450"/>
      <c r="S83" s="385"/>
      <c r="T83" s="450"/>
      <c r="U83" s="385"/>
      <c r="V83" s="450"/>
      <c r="W83" s="385"/>
      <c r="X83" s="450"/>
      <c r="Y83" s="385"/>
      <c r="Z83" s="450"/>
      <c r="AB83" s="666"/>
      <c r="AC83" s="663"/>
    </row>
    <row r="84" spans="1:31" s="95" customFormat="1" ht="12" x14ac:dyDescent="0.2">
      <c r="B84" s="444" t="s">
        <v>64</v>
      </c>
      <c r="C84" s="278">
        <f>Dean_HE!C87+ATID!C81+FSHS!C96+HMD!C83+'Human Nutrition'!C84</f>
        <v>28</v>
      </c>
      <c r="D84" s="445">
        <f t="shared" si="29"/>
        <v>0.34146341463414637</v>
      </c>
      <c r="E84" s="278">
        <f>Dean_HE!E87+ATID!E81+FSHS!E96+HMD!E83+'Human Nutrition'!E84</f>
        <v>32</v>
      </c>
      <c r="F84" s="446">
        <f>E84/F$73</f>
        <v>0.35555555555555557</v>
      </c>
      <c r="G84" s="278">
        <f>Dean_HE!G87+ATID!G81+FSHS!G96+HMD!G83+'Human Nutrition'!G83</f>
        <v>29</v>
      </c>
      <c r="H84" s="369">
        <f>G84/H$73</f>
        <v>0.33720930232558138</v>
      </c>
      <c r="I84" s="278">
        <f>Dean_HE!I87+ATID!I81+FSHS!I96+HMD!I83+'Human Nutrition'!I83</f>
        <v>31</v>
      </c>
      <c r="J84" s="369">
        <f>I84/J$73</f>
        <v>0.34065934065934067</v>
      </c>
      <c r="K84" s="278">
        <f>Dean_HE!K87+ATID!K81+FSHS!K96+HMD!K83+'Human Nutrition'!K83</f>
        <v>30</v>
      </c>
      <c r="L84" s="369">
        <f>K84/L$73</f>
        <v>0.33707865168539325</v>
      </c>
      <c r="M84" s="278">
        <f>Dean_HE!M87+ATID!M81+FSHS!M96+HMD!M83+'Human Nutrition'!M83</f>
        <v>29</v>
      </c>
      <c r="N84" s="446">
        <f>M84/N$73</f>
        <v>0.33720930232558138</v>
      </c>
      <c r="O84" s="384">
        <f>Dean_HE!O87+ATID!O81+FSHS!O96+HMD!O83+'Human Nutrition'!O83</f>
        <v>29</v>
      </c>
      <c r="P84" s="446">
        <f>O84/P$73</f>
        <v>0.32222222222222224</v>
      </c>
      <c r="Q84" s="384">
        <f>Dean_HE!Q87+ATID!Q81+FSHS!Q96+HMD!Q83+'Human Nutrition'!Q83</f>
        <v>29</v>
      </c>
      <c r="R84" s="446">
        <f>Q84/R$73</f>
        <v>0.31868131868131866</v>
      </c>
      <c r="S84" s="384">
        <f>Dean_HE!S87+ATID!S81+FSHS!S96+HMD!S83+'Human Nutrition'!S83</f>
        <v>28</v>
      </c>
      <c r="T84" s="446">
        <f>S84/T$73</f>
        <v>0.28000000000000003</v>
      </c>
      <c r="U84" s="384">
        <f>Dean_HE!U87+ATID!U81+FSHS!U96+HMD!U83+'Human Nutrition'!U83</f>
        <v>33</v>
      </c>
      <c r="V84" s="446">
        <f>U84/V$73</f>
        <v>0.31132075471698112</v>
      </c>
      <c r="W84" s="384">
        <f>Dean_HE!W87+ATID!W81+FSHS!W96+HMD!W83+'Human Nutrition'!W83+Kinesiology!W80</f>
        <v>41</v>
      </c>
      <c r="X84" s="446">
        <f>W84/X$73</f>
        <v>0.33333333333333331</v>
      </c>
      <c r="Y84" s="384">
        <f>Dean_HE!Y87+ATID!Y81+FSHS!Y96+HMD!Y83+'Human Nutrition'!Y83+Kinesiology!Y80</f>
        <v>38</v>
      </c>
      <c r="Z84" s="446">
        <f>Y84/Z$73</f>
        <v>0.31147540983606559</v>
      </c>
      <c r="AB84" s="662">
        <f t="shared" ref="AB84:AB85" si="30">AVERAGE(W84,U84,S84,Q84,Y84)</f>
        <v>33.799999999999997</v>
      </c>
      <c r="AC84" s="665">
        <f t="shared" ref="AC84:AC85" si="31">AVERAGE(X84,V84,T84,R84,Z84)</f>
        <v>0.31096216331353971</v>
      </c>
    </row>
    <row r="85" spans="1:31" s="95" customFormat="1" ht="12" x14ac:dyDescent="0.2">
      <c r="B85" s="444" t="s">
        <v>65</v>
      </c>
      <c r="C85" s="278">
        <f>Dean_HE!C88+ATID!C82+FSHS!C97+HMD!C84+'Human Nutrition'!C85</f>
        <v>54</v>
      </c>
      <c r="D85" s="445">
        <f t="shared" si="29"/>
        <v>0.65853658536585369</v>
      </c>
      <c r="E85" s="278">
        <f>Dean_HE!E88+ATID!E82+FSHS!E97+HMD!E84+'Human Nutrition'!E85</f>
        <v>58</v>
      </c>
      <c r="F85" s="446">
        <f>E85/F$73</f>
        <v>0.64444444444444449</v>
      </c>
      <c r="G85" s="278">
        <f>Dean_HE!G88+ATID!G82+FSHS!G97+HMD!G84+'Human Nutrition'!G84</f>
        <v>56</v>
      </c>
      <c r="H85" s="369">
        <f>G85/H$73</f>
        <v>0.65116279069767447</v>
      </c>
      <c r="I85" s="278">
        <f>Dean_HE!I88+ATID!I82+FSHS!I97+HMD!I84+'Human Nutrition'!I84</f>
        <v>60</v>
      </c>
      <c r="J85" s="369">
        <f>I85/J$73</f>
        <v>0.65934065934065933</v>
      </c>
      <c r="K85" s="278">
        <f>Dean_HE!K88+ATID!K82+FSHS!K97+HMD!K84+'Human Nutrition'!K84</f>
        <v>59</v>
      </c>
      <c r="L85" s="369">
        <f>K85/L$73</f>
        <v>0.6629213483146067</v>
      </c>
      <c r="M85" s="278">
        <f>Dean_HE!M88+ATID!M82+FSHS!M97+HMD!M84+'Human Nutrition'!M84</f>
        <v>57</v>
      </c>
      <c r="N85" s="446">
        <f>M85/N$73</f>
        <v>0.66279069767441856</v>
      </c>
      <c r="O85" s="384">
        <f>Dean_HE!O88+ATID!O82+FSHS!O97+HMD!O84+'Human Nutrition'!O84</f>
        <v>61</v>
      </c>
      <c r="P85" s="446">
        <f>O85/P$73</f>
        <v>0.67777777777777781</v>
      </c>
      <c r="Q85" s="384">
        <f>Dean_HE!Q88+ATID!Q82+FSHS!Q97+HMD!Q84+'Human Nutrition'!Q84</f>
        <v>62</v>
      </c>
      <c r="R85" s="446">
        <f>Q85/R$73</f>
        <v>0.68131868131868134</v>
      </c>
      <c r="S85" s="384">
        <f>Dean_HE!S88+ATID!S82+FSHS!S97+HMD!S84+'Human Nutrition'!S84</f>
        <v>72</v>
      </c>
      <c r="T85" s="446">
        <f>S85/T$73</f>
        <v>0.72</v>
      </c>
      <c r="U85" s="384">
        <f>Dean_HE!U88+ATID!U82+FSHS!U97+HMD!U84+'Human Nutrition'!U84</f>
        <v>73</v>
      </c>
      <c r="V85" s="446">
        <f>U85/V$73</f>
        <v>0.68867924528301883</v>
      </c>
      <c r="W85" s="384">
        <f>Dean_HE!W88+ATID!W82+FSHS!W97+HMD!W84+'Human Nutrition'!W84+Kinesiology!W81</f>
        <v>82</v>
      </c>
      <c r="X85" s="446">
        <f>W85/X$73</f>
        <v>0.66666666666666663</v>
      </c>
      <c r="Y85" s="384">
        <f>Dean_HE!Y88+ATID!Y82+FSHS!Y97+HMD!Y84+'Human Nutrition'!Y84+Kinesiology!Y81</f>
        <v>84</v>
      </c>
      <c r="Z85" s="446">
        <f>Y85/Z$73</f>
        <v>0.68852459016393441</v>
      </c>
      <c r="AB85" s="662">
        <f t="shared" si="30"/>
        <v>74.599999999999994</v>
      </c>
      <c r="AC85" s="665">
        <f t="shared" si="31"/>
        <v>0.68903783668646024</v>
      </c>
    </row>
    <row r="86" spans="1:31" s="95" customFormat="1" ht="12" x14ac:dyDescent="0.2">
      <c r="B86" s="451" t="s">
        <v>78</v>
      </c>
      <c r="C86" s="278"/>
      <c r="D86" s="445"/>
      <c r="E86" s="278"/>
      <c r="F86" s="212"/>
      <c r="G86" s="278"/>
      <c r="H86" s="211"/>
      <c r="I86" s="278"/>
      <c r="J86" s="211"/>
      <c r="K86" s="278"/>
      <c r="L86" s="211"/>
      <c r="M86" s="278"/>
      <c r="N86" s="212"/>
      <c r="O86" s="384"/>
      <c r="P86" s="212"/>
      <c r="Q86" s="384"/>
      <c r="R86" s="212"/>
      <c r="S86" s="384"/>
      <c r="T86" s="212"/>
      <c r="U86" s="384"/>
      <c r="V86" s="212"/>
      <c r="W86" s="384"/>
      <c r="X86" s="212"/>
      <c r="Y86" s="384"/>
      <c r="Z86" s="212"/>
      <c r="AB86" s="673"/>
      <c r="AC86" s="674"/>
    </row>
    <row r="87" spans="1:31" s="95" customFormat="1" ht="12" x14ac:dyDescent="0.2">
      <c r="B87" s="444" t="s">
        <v>66</v>
      </c>
      <c r="C87" s="278">
        <f>Dean_HE!C90+ATID!C84+FSHS!C99+HMD!C86+'Human Nutrition'!C87</f>
        <v>37</v>
      </c>
      <c r="D87" s="445">
        <f t="shared" si="29"/>
        <v>0.45121951219512196</v>
      </c>
      <c r="E87" s="278">
        <f>Dean_HE!E90+ATID!E84+FSHS!E99+HMD!E86+'Human Nutrition'!E87</f>
        <v>40</v>
      </c>
      <c r="F87" s="446">
        <f>E87/F$73</f>
        <v>0.44444444444444442</v>
      </c>
      <c r="G87" s="278">
        <f>Dean_HE!G90+ATID!G84+FSHS!G99+HMD!G86+'Human Nutrition'!G86</f>
        <v>41</v>
      </c>
      <c r="H87" s="369">
        <f>G87/H$73</f>
        <v>0.47674418604651164</v>
      </c>
      <c r="I87" s="278">
        <f>Dean_HE!I90+ATID!I84+FSHS!I99+HMD!I86+'Human Nutrition'!I86</f>
        <v>39</v>
      </c>
      <c r="J87" s="369">
        <f>I87/J$73</f>
        <v>0.42857142857142855</v>
      </c>
      <c r="K87" s="278">
        <f>Dean_HE!K90+ATID!K84+FSHS!K99+HMD!K86+'Human Nutrition'!K86</f>
        <v>39</v>
      </c>
      <c r="L87" s="369">
        <f>K87/L$73</f>
        <v>0.43820224719101125</v>
      </c>
      <c r="M87" s="278">
        <f>Dean_HE!M90+ATID!M84+FSHS!M99+HMD!M86+'Human Nutrition'!M86</f>
        <v>35</v>
      </c>
      <c r="N87" s="446">
        <f>M87/N$73</f>
        <v>0.40697674418604651</v>
      </c>
      <c r="O87" s="384">
        <f>Dean_HE!O90+ATID!O84+FSHS!O99+HMD!O86+'Human Nutrition'!O86</f>
        <v>39</v>
      </c>
      <c r="P87" s="446">
        <f>O87/P$73</f>
        <v>0.43333333333333335</v>
      </c>
      <c r="Q87" s="384">
        <f>Dean_HE!Q90+ATID!Q84+FSHS!Q99+HMD!Q86+'Human Nutrition'!Q86</f>
        <v>36</v>
      </c>
      <c r="R87" s="446">
        <f>Q87/R$73</f>
        <v>0.39560439560439559</v>
      </c>
      <c r="S87" s="384">
        <f>Dean_HE!S90+ATID!S84+FSHS!S99+HMD!S86+'Human Nutrition'!S86</f>
        <v>35</v>
      </c>
      <c r="T87" s="446">
        <f>S87/T$73</f>
        <v>0.35</v>
      </c>
      <c r="U87" s="384">
        <f>Dean_HE!U90+ATID!U84+FSHS!U99+HMD!U86+'Human Nutrition'!U86</f>
        <v>37</v>
      </c>
      <c r="V87" s="446">
        <f>U87/V$73</f>
        <v>0.34905660377358488</v>
      </c>
      <c r="W87" s="384">
        <f>Dean_HE!W90+ATID!W84+FSHS!W99+HMD!W86+'Human Nutrition'!W86+Kinesiology!W83</f>
        <v>52</v>
      </c>
      <c r="X87" s="446">
        <f>W87/X$73</f>
        <v>0.42276422764227645</v>
      </c>
      <c r="Y87" s="384">
        <f>Dean_HE!Y90+ATID!Y84+FSHS!Y99+HMD!Y86+'Human Nutrition'!Y86+Kinesiology!Y83</f>
        <v>57</v>
      </c>
      <c r="Z87" s="446">
        <f>Y87/Z$73</f>
        <v>0.46721311475409838</v>
      </c>
      <c r="AB87" s="662">
        <f t="shared" ref="AB87:AB89" si="32">AVERAGE(W87,U87,S87,Q87,Y87)</f>
        <v>43.4</v>
      </c>
      <c r="AC87" s="665">
        <f t="shared" ref="AC87:AC89" si="33">AVERAGE(X87,V87,T87,R87,Z87)</f>
        <v>0.39692766835487103</v>
      </c>
    </row>
    <row r="88" spans="1:31" s="95" customFormat="1" ht="12" x14ac:dyDescent="0.2">
      <c r="B88" s="444" t="s">
        <v>67</v>
      </c>
      <c r="C88" s="278">
        <f>Dean_HE!C91+ATID!C85+FSHS!C100+HMD!C87+'Human Nutrition'!C88</f>
        <v>20</v>
      </c>
      <c r="D88" s="445">
        <f t="shared" si="29"/>
        <v>0.24390243902439024</v>
      </c>
      <c r="E88" s="278">
        <f>Dean_HE!E91+ATID!E85+FSHS!E100+HMD!E87+'Human Nutrition'!E88</f>
        <v>20</v>
      </c>
      <c r="F88" s="446">
        <f>E88/F$73</f>
        <v>0.22222222222222221</v>
      </c>
      <c r="G88" s="278">
        <f>Dean_HE!G91+ATID!G85+FSHS!G100+HMD!G87+'Human Nutrition'!G87</f>
        <v>16</v>
      </c>
      <c r="H88" s="369">
        <f>G88/H$73</f>
        <v>0.18604651162790697</v>
      </c>
      <c r="I88" s="278">
        <f>Dean_HE!I91+ATID!I85+FSHS!I100+HMD!I87+'Human Nutrition'!I87</f>
        <v>19</v>
      </c>
      <c r="J88" s="369">
        <f>I88/J$73</f>
        <v>0.2087912087912088</v>
      </c>
      <c r="K88" s="278">
        <f>Dean_HE!K91+ATID!K85+FSHS!K100+HMD!K87+'Human Nutrition'!K87</f>
        <v>20</v>
      </c>
      <c r="L88" s="369">
        <f>K88/L$73</f>
        <v>0.2247191011235955</v>
      </c>
      <c r="M88" s="278">
        <f>Dean_HE!M91+ATID!M85+FSHS!M100+HMD!M87+'Human Nutrition'!M87</f>
        <v>25</v>
      </c>
      <c r="N88" s="446">
        <f>M88/N$73</f>
        <v>0.29069767441860467</v>
      </c>
      <c r="O88" s="384">
        <f>Dean_HE!O91+ATID!O85+FSHS!O100+HMD!O87+'Human Nutrition'!O87</f>
        <v>21</v>
      </c>
      <c r="P88" s="446">
        <f>O88/P$73</f>
        <v>0.23333333333333334</v>
      </c>
      <c r="Q88" s="384">
        <f>Dean_HE!Q91+ATID!Q85+FSHS!Q100+HMD!Q87+'Human Nutrition'!Q87</f>
        <v>21</v>
      </c>
      <c r="R88" s="446">
        <f>Q88/R$73</f>
        <v>0.23076923076923078</v>
      </c>
      <c r="S88" s="384">
        <f>Dean_HE!S91+ATID!S85+FSHS!S100+HMD!S87+'Human Nutrition'!S87</f>
        <v>21</v>
      </c>
      <c r="T88" s="446">
        <f>S88/T$73</f>
        <v>0.21</v>
      </c>
      <c r="U88" s="384">
        <f>Dean_HE!U91+ATID!U85+FSHS!U100+HMD!U87+'Human Nutrition'!U87</f>
        <v>18</v>
      </c>
      <c r="V88" s="446">
        <f>U88/V$73</f>
        <v>0.16981132075471697</v>
      </c>
      <c r="W88" s="384">
        <f>Dean_HE!W91+ATID!W85+FSHS!W100+HMD!W87+'Human Nutrition'!W87+Kinesiology!W84</f>
        <v>23</v>
      </c>
      <c r="X88" s="446">
        <f>W88/X$73</f>
        <v>0.18699186991869918</v>
      </c>
      <c r="Y88" s="384">
        <f>Dean_HE!Y91+ATID!Y85+FSHS!Y100+HMD!Y87+'Human Nutrition'!Y87+Kinesiology!Y84</f>
        <v>23</v>
      </c>
      <c r="Z88" s="446">
        <f>Y88/Z$73</f>
        <v>0.18852459016393441</v>
      </c>
      <c r="AB88" s="662">
        <f t="shared" si="32"/>
        <v>21.2</v>
      </c>
      <c r="AC88" s="665">
        <f t="shared" si="33"/>
        <v>0.19721940232131627</v>
      </c>
    </row>
    <row r="89" spans="1:31" s="95" customFormat="1" ht="12" x14ac:dyDescent="0.2">
      <c r="B89" s="444" t="s">
        <v>68</v>
      </c>
      <c r="C89" s="278">
        <f>Dean_HE!C92+ATID!C86+FSHS!C101+HMD!C88+'Human Nutrition'!C89</f>
        <v>25</v>
      </c>
      <c r="D89" s="445">
        <f t="shared" si="29"/>
        <v>0.3048780487804878</v>
      </c>
      <c r="E89" s="278">
        <f>Dean_HE!E92+ATID!E86+FSHS!E101+HMD!E88+'Human Nutrition'!E89</f>
        <v>30</v>
      </c>
      <c r="F89" s="446">
        <f>E89/F$73</f>
        <v>0.33333333333333331</v>
      </c>
      <c r="G89" s="278">
        <f>Dean_HE!G92+ATID!G86+FSHS!G101+HMD!G88+'Human Nutrition'!G88</f>
        <v>28</v>
      </c>
      <c r="H89" s="369">
        <f>G89/H$73</f>
        <v>0.32558139534883723</v>
      </c>
      <c r="I89" s="278">
        <f>Dean_HE!I92+ATID!I86+FSHS!I101+HMD!I88+'Human Nutrition'!I88</f>
        <v>33</v>
      </c>
      <c r="J89" s="369">
        <f>I89/J$73</f>
        <v>0.36263736263736263</v>
      </c>
      <c r="K89" s="278">
        <f>Dean_HE!K92+ATID!K86+FSHS!K101+HMD!K88+'Human Nutrition'!K88</f>
        <v>30</v>
      </c>
      <c r="L89" s="369">
        <f>K89/L$73</f>
        <v>0.33707865168539325</v>
      </c>
      <c r="M89" s="278">
        <f>Dean_HE!M92+ATID!M86+FSHS!M101+HMD!M88+'Human Nutrition'!M88</f>
        <v>26</v>
      </c>
      <c r="N89" s="446">
        <f>M89/N$73</f>
        <v>0.30232558139534882</v>
      </c>
      <c r="O89" s="384">
        <f>Dean_HE!O92+ATID!O86+FSHS!O101+HMD!O88+'Human Nutrition'!O88</f>
        <v>30</v>
      </c>
      <c r="P89" s="446">
        <f>O89/P$73</f>
        <v>0.33333333333333331</v>
      </c>
      <c r="Q89" s="384">
        <f>Dean_HE!Q92+ATID!Q86+FSHS!Q101+HMD!Q88+'Human Nutrition'!Q88</f>
        <v>34</v>
      </c>
      <c r="R89" s="446">
        <f>Q89/R$73</f>
        <v>0.37362637362637363</v>
      </c>
      <c r="S89" s="384">
        <f>Dean_HE!S92+ATID!S86+FSHS!S101+HMD!S88+'Human Nutrition'!S88</f>
        <v>44</v>
      </c>
      <c r="T89" s="446">
        <f>S89/T$73</f>
        <v>0.44</v>
      </c>
      <c r="U89" s="384">
        <f>Dean_HE!U92+ATID!U86+FSHS!U101+HMD!U88+'Human Nutrition'!U88</f>
        <v>47</v>
      </c>
      <c r="V89" s="446">
        <f>U89/V$73</f>
        <v>0.44339622641509435</v>
      </c>
      <c r="W89" s="384">
        <f>Dean_HE!W92+ATID!W86+FSHS!W101+HMD!W88+'Human Nutrition'!W88+Kinesiology!W85</f>
        <v>48</v>
      </c>
      <c r="X89" s="446">
        <f>W89/X$73</f>
        <v>0.3902439024390244</v>
      </c>
      <c r="Y89" s="384">
        <f>Dean_HE!Y92+ATID!Y86+FSHS!Y101+HMD!Y88+'Human Nutrition'!Y88+Kinesiology!Y85</f>
        <v>42</v>
      </c>
      <c r="Z89" s="446">
        <f>Y89/Z$73</f>
        <v>0.34426229508196721</v>
      </c>
      <c r="AB89" s="662">
        <f t="shared" si="32"/>
        <v>43</v>
      </c>
      <c r="AC89" s="665">
        <f t="shared" si="33"/>
        <v>0.39830575951249192</v>
      </c>
    </row>
    <row r="90" spans="1:31" s="95" customFormat="1" ht="12" x14ac:dyDescent="0.2">
      <c r="B90" s="451" t="s">
        <v>79</v>
      </c>
      <c r="C90" s="278"/>
      <c r="D90" s="445"/>
      <c r="E90" s="278"/>
      <c r="F90" s="212"/>
      <c r="G90" s="278"/>
      <c r="H90" s="211"/>
      <c r="I90" s="278"/>
      <c r="J90" s="211"/>
      <c r="K90" s="278"/>
      <c r="L90" s="211"/>
      <c r="M90" s="278"/>
      <c r="N90" s="212"/>
      <c r="O90" s="384"/>
      <c r="P90" s="212"/>
      <c r="Q90" s="384"/>
      <c r="R90" s="212"/>
      <c r="S90" s="384"/>
      <c r="T90" s="212"/>
      <c r="U90" s="384"/>
      <c r="V90" s="212"/>
      <c r="W90" s="384"/>
      <c r="X90" s="212"/>
      <c r="Y90" s="384"/>
      <c r="Z90" s="212"/>
      <c r="AB90" s="619"/>
      <c r="AC90" s="618"/>
    </row>
    <row r="91" spans="1:31" s="95" customFormat="1" ht="12" x14ac:dyDescent="0.2">
      <c r="B91" s="444" t="s">
        <v>69</v>
      </c>
      <c r="C91" s="278">
        <f>Dean_HE!C94+ATID!C88+FSHS!C103+HMD!C90+'Human Nutrition'!C91</f>
        <v>56</v>
      </c>
      <c r="D91" s="445">
        <f t="shared" si="29"/>
        <v>0.68292682926829273</v>
      </c>
      <c r="E91" s="278">
        <f>Dean_HE!E94+ATID!E88+FSHS!E103+HMD!E90+'Human Nutrition'!E91</f>
        <v>56</v>
      </c>
      <c r="F91" s="446">
        <f>E91/F$73</f>
        <v>0.62222222222222223</v>
      </c>
      <c r="G91" s="278">
        <f>Dean_HE!G94+ATID!G88+FSHS!G103+HMD!G90+'Human Nutrition'!G90</f>
        <v>54</v>
      </c>
      <c r="H91" s="369">
        <f>G91/H$73</f>
        <v>0.62790697674418605</v>
      </c>
      <c r="I91" s="278">
        <f>Dean_HE!I94+ATID!I88+FSHS!I103+HMD!I90+'Human Nutrition'!I90</f>
        <v>58</v>
      </c>
      <c r="J91" s="369">
        <f>I91/J$73</f>
        <v>0.63736263736263732</v>
      </c>
      <c r="K91" s="278">
        <f>Dean_HE!K94+ATID!K88+FSHS!K103+HMD!K90+'Human Nutrition'!K90</f>
        <v>61</v>
      </c>
      <c r="L91" s="369">
        <f>K91/L$73</f>
        <v>0.6853932584269663</v>
      </c>
      <c r="M91" s="278">
        <f>Dean_HE!M94+ATID!M88+FSHS!M103+HMD!M90+'Human Nutrition'!M90</f>
        <v>56</v>
      </c>
      <c r="N91" s="446">
        <f>M91/N$73</f>
        <v>0.65116279069767447</v>
      </c>
      <c r="O91" s="384">
        <f>Dean_HE!O94+ATID!O88+FSHS!O103+HMD!O90+'Human Nutrition'!O90</f>
        <v>56</v>
      </c>
      <c r="P91" s="446">
        <f>O91/P$73</f>
        <v>0.62222222222222223</v>
      </c>
      <c r="Q91" s="384">
        <f>Dean_HE!Q94+ATID!Q88+FSHS!Q103+HMD!Q90+'Human Nutrition'!Q90</f>
        <v>57</v>
      </c>
      <c r="R91" s="446">
        <f>Q91/R$73</f>
        <v>0.62637362637362637</v>
      </c>
      <c r="S91" s="384">
        <f>Dean_HE!S94+ATID!S88+FSHS!S103+HMD!S90+'Human Nutrition'!S90</f>
        <v>59</v>
      </c>
      <c r="T91" s="446">
        <f>S91/T$73</f>
        <v>0.59</v>
      </c>
      <c r="U91" s="384">
        <f>Dean_HE!U94+ATID!U88+FSHS!U103+HMD!U90+'Human Nutrition'!U90</f>
        <v>68</v>
      </c>
      <c r="V91" s="446">
        <f>U91/V$73</f>
        <v>0.64150943396226412</v>
      </c>
      <c r="W91" s="384">
        <f>Dean_HE!W94+ATID!W88+FSHS!W103+HMD!W90+'Human Nutrition'!W90+Kinesiology!W87</f>
        <v>83</v>
      </c>
      <c r="X91" s="446">
        <f>W91/X$73</f>
        <v>0.67479674796747968</v>
      </c>
      <c r="Y91" s="384">
        <f>Dean_HE!Y94+ATID!Y88+FSHS!Y103+HMD!Y90+'Human Nutrition'!Y90+Kinesiology!Y87</f>
        <v>81</v>
      </c>
      <c r="Z91" s="446">
        <f>Y91/Z$73</f>
        <v>0.66393442622950816</v>
      </c>
      <c r="AB91" s="662">
        <f t="shared" ref="AB91:AB94" si="34">AVERAGE(W91,U91,S91,Q91,Y91)</f>
        <v>69.599999999999994</v>
      </c>
      <c r="AC91" s="665">
        <f t="shared" ref="AC91:AC94" si="35">AVERAGE(X91,V91,T91,R91,Z91)</f>
        <v>0.63932284690657559</v>
      </c>
    </row>
    <row r="92" spans="1:31" s="95" customFormat="1" ht="12" x14ac:dyDescent="0.2">
      <c r="B92" s="444" t="s">
        <v>70</v>
      </c>
      <c r="C92" s="278">
        <f>Dean_HE!C95+ATID!C89+FSHS!C104+HMD!C91+'Human Nutrition'!C92</f>
        <v>22</v>
      </c>
      <c r="D92" s="445">
        <f t="shared" si="29"/>
        <v>0.26829268292682928</v>
      </c>
      <c r="E92" s="278">
        <f>Dean_HE!E95+ATID!E89+FSHS!E104+HMD!E91+'Human Nutrition'!E92</f>
        <v>30</v>
      </c>
      <c r="F92" s="446">
        <f>E92/F$73</f>
        <v>0.33333333333333331</v>
      </c>
      <c r="G92" s="278">
        <f>Dean_HE!G95+ATID!G89+FSHS!G104+HMD!G91+'Human Nutrition'!G91</f>
        <v>25</v>
      </c>
      <c r="H92" s="369">
        <f>G92/H$73</f>
        <v>0.29069767441860467</v>
      </c>
      <c r="I92" s="278">
        <f>Dean_HE!I95+ATID!I89+FSHS!I104+HMD!I91+'Human Nutrition'!I91</f>
        <v>30</v>
      </c>
      <c r="J92" s="369">
        <f>I92/J$73</f>
        <v>0.32967032967032966</v>
      </c>
      <c r="K92" s="278">
        <f>Dean_HE!K95+ATID!K89+FSHS!K104+HMD!K91+'Human Nutrition'!K91</f>
        <v>28</v>
      </c>
      <c r="L92" s="369">
        <f>K92/L$73</f>
        <v>0.3146067415730337</v>
      </c>
      <c r="M92" s="278">
        <f>Dean_HE!M95+ATID!M89+FSHS!M104+HMD!M91+'Human Nutrition'!M91</f>
        <v>28</v>
      </c>
      <c r="N92" s="446">
        <f>M92/N$73</f>
        <v>0.32558139534883723</v>
      </c>
      <c r="O92" s="384">
        <f>Dean_HE!O95+ATID!O89+FSHS!O104+HMD!O91+'Human Nutrition'!O91</f>
        <v>33</v>
      </c>
      <c r="P92" s="446">
        <f>O92/P$73</f>
        <v>0.36666666666666664</v>
      </c>
      <c r="Q92" s="384">
        <f>Dean_HE!Q95+ATID!Q89+FSHS!Q104+HMD!Q91+'Human Nutrition'!Q91</f>
        <v>32</v>
      </c>
      <c r="R92" s="446">
        <f>Q92/R$73</f>
        <v>0.35164835164835168</v>
      </c>
      <c r="S92" s="384">
        <f>Dean_HE!S95+ATID!S89+FSHS!S104+HMD!S91+'Human Nutrition'!S91</f>
        <v>36</v>
      </c>
      <c r="T92" s="446">
        <f>S92/T$73</f>
        <v>0.36</v>
      </c>
      <c r="U92" s="384">
        <f>Dean_HE!U95+ATID!U89+FSHS!U104+HMD!U91+'Human Nutrition'!U91</f>
        <v>34</v>
      </c>
      <c r="V92" s="446">
        <f>U92/V$73</f>
        <v>0.32075471698113206</v>
      </c>
      <c r="W92" s="384">
        <f>Dean_HE!W95+ATID!W89+FSHS!W104+HMD!W91+'Human Nutrition'!W91+Kinesiology!W88</f>
        <v>37</v>
      </c>
      <c r="X92" s="446">
        <f>W92/X$73</f>
        <v>0.30081300813008133</v>
      </c>
      <c r="Y92" s="384">
        <f>Dean_HE!Y95+ATID!Y89+FSHS!Y104+HMD!Y91+'Human Nutrition'!Y91+Kinesiology!Y88</f>
        <v>38</v>
      </c>
      <c r="Z92" s="446">
        <f>Y92/Z$73</f>
        <v>0.31147540983606559</v>
      </c>
      <c r="AB92" s="662">
        <f t="shared" si="34"/>
        <v>35.4</v>
      </c>
      <c r="AC92" s="665">
        <f t="shared" si="35"/>
        <v>0.32893829731912616</v>
      </c>
    </row>
    <row r="93" spans="1:31" s="95" customFormat="1" ht="12" x14ac:dyDescent="0.2">
      <c r="B93" s="444" t="s">
        <v>71</v>
      </c>
      <c r="C93" s="278">
        <f>Dean_HE!C96+ATID!C90+FSHS!C105+HMD!C92+'Human Nutrition'!C93</f>
        <v>4</v>
      </c>
      <c r="D93" s="445">
        <f t="shared" si="29"/>
        <v>4.878048780487805E-2</v>
      </c>
      <c r="E93" s="278">
        <f>Dean_HE!E96+ATID!E90+FSHS!E105+HMD!E92+'Human Nutrition'!E93</f>
        <v>4</v>
      </c>
      <c r="F93" s="446">
        <f>E93/F$73</f>
        <v>4.4444444444444446E-2</v>
      </c>
      <c r="G93" s="278">
        <f>Dean_HE!G96+ATID!G90+FSHS!G105+HMD!G92+'Human Nutrition'!G92</f>
        <v>6</v>
      </c>
      <c r="H93" s="369">
        <f>G93/H$73</f>
        <v>6.9767441860465115E-2</v>
      </c>
      <c r="I93" s="278">
        <f>Dean_HE!I96+ATID!I90+FSHS!I105+HMD!I92+'Human Nutrition'!I92</f>
        <v>3</v>
      </c>
      <c r="J93" s="369">
        <f>I93/J$73</f>
        <v>3.2967032967032968E-2</v>
      </c>
      <c r="K93" s="278">
        <f>Dean_HE!K96+ATID!K90+FSHS!K105+HMD!K92+'Human Nutrition'!K92</f>
        <v>0</v>
      </c>
      <c r="L93" s="369">
        <f>K93/L$73</f>
        <v>0</v>
      </c>
      <c r="M93" s="278">
        <f>Dean_HE!M96+ATID!M90+FSHS!M105+HMD!M92+'Human Nutrition'!M92</f>
        <v>2</v>
      </c>
      <c r="N93" s="446">
        <f>M93/N$73</f>
        <v>2.3255813953488372E-2</v>
      </c>
      <c r="O93" s="384">
        <f>Dean_HE!O96+ATID!O90+FSHS!O105+HMD!O92+'Human Nutrition'!O92</f>
        <v>1</v>
      </c>
      <c r="P93" s="446">
        <f>O93/P$73</f>
        <v>1.1111111111111112E-2</v>
      </c>
      <c r="Q93" s="384">
        <f>Dean_HE!Q96+ATID!Q90+FSHS!Q105+HMD!Q92+'Human Nutrition'!Q92</f>
        <v>2</v>
      </c>
      <c r="R93" s="446">
        <f>Q93/R$73</f>
        <v>2.197802197802198E-2</v>
      </c>
      <c r="S93" s="384">
        <f>Dean_HE!S96+ATID!S90+FSHS!S105+HMD!S92+'Human Nutrition'!S92</f>
        <v>5</v>
      </c>
      <c r="T93" s="446">
        <f>S93/T$73</f>
        <v>0.05</v>
      </c>
      <c r="U93" s="384">
        <f>Dean_HE!U96+ATID!U90+FSHS!U105+HMD!U92+'Human Nutrition'!U92</f>
        <v>4</v>
      </c>
      <c r="V93" s="446">
        <f>U93/V$73</f>
        <v>3.7735849056603772E-2</v>
      </c>
      <c r="W93" s="384">
        <f>Dean_HE!W96+ATID!W90+FSHS!W105+HMD!W92+'Human Nutrition'!W92+Kinesiology!W89</f>
        <v>3</v>
      </c>
      <c r="X93" s="446">
        <f>W93/X$73</f>
        <v>2.4390243902439025E-2</v>
      </c>
      <c r="Y93" s="384">
        <f>Dean_HE!Y96+ATID!Y90+FSHS!Y105+HMD!Y92+'Human Nutrition'!Y92+Kinesiology!Y89</f>
        <v>3</v>
      </c>
      <c r="Z93" s="446">
        <f>Y93/Z$73</f>
        <v>2.4590163934426229E-2</v>
      </c>
      <c r="AB93" s="662">
        <f t="shared" si="34"/>
        <v>3.4</v>
      </c>
      <c r="AC93" s="665">
        <f t="shared" si="35"/>
        <v>3.1738855774298205E-2</v>
      </c>
    </row>
    <row r="94" spans="1:31" s="95" customFormat="1" thickBot="1" x14ac:dyDescent="0.25">
      <c r="B94" s="452" t="s">
        <v>72</v>
      </c>
      <c r="C94" s="280">
        <f>Dean_HE!C97+ATID!C91+FSHS!C106+HMD!C93+'Human Nutrition'!C94</f>
        <v>0</v>
      </c>
      <c r="D94" s="453">
        <f t="shared" si="29"/>
        <v>0</v>
      </c>
      <c r="E94" s="280">
        <f>Dean_HE!E97+ATID!E91+FSHS!E106+HMD!E93+'Human Nutrition'!E94</f>
        <v>0</v>
      </c>
      <c r="F94" s="454">
        <f>E94/F$73</f>
        <v>0</v>
      </c>
      <c r="G94" s="280">
        <f>Dean_HE!G97+ATID!G91+FSHS!G106+HMD!G93+'Human Nutrition'!G93</f>
        <v>0</v>
      </c>
      <c r="H94" s="372">
        <f>G94/H$73</f>
        <v>0</v>
      </c>
      <c r="I94" s="280">
        <f>Dean_HE!I97+ATID!I91+FSHS!I106+HMD!I93+'Human Nutrition'!I93</f>
        <v>0</v>
      </c>
      <c r="J94" s="372">
        <f>I94/J$73</f>
        <v>0</v>
      </c>
      <c r="K94" s="280">
        <f>Dean_HE!K97+ATID!K91+FSHS!K106+HMD!K93+'Human Nutrition'!K93</f>
        <v>0</v>
      </c>
      <c r="L94" s="372">
        <f>K94/L$73</f>
        <v>0</v>
      </c>
      <c r="M94" s="280">
        <f>Dean_HE!M97+ATID!M91+FSHS!M106+HMD!M93+'Human Nutrition'!M93</f>
        <v>0</v>
      </c>
      <c r="N94" s="454">
        <f>M94/N$73</f>
        <v>0</v>
      </c>
      <c r="O94" s="729">
        <f>Dean_HE!O97+ATID!O91+FSHS!O106+HMD!O93+'Human Nutrition'!O93</f>
        <v>0</v>
      </c>
      <c r="P94" s="454">
        <f>O94/P$73</f>
        <v>0</v>
      </c>
      <c r="Q94" s="729">
        <f>Dean_HE!Q97+ATID!Q91+FSHS!Q106+HMD!Q93+'Human Nutrition'!Q93</f>
        <v>0</v>
      </c>
      <c r="R94" s="454">
        <f>Q94/R$73</f>
        <v>0</v>
      </c>
      <c r="S94" s="729">
        <f>Dean_HE!S97+ATID!S91+FSHS!S106+HMD!S93+'Human Nutrition'!S93</f>
        <v>0</v>
      </c>
      <c r="T94" s="454">
        <f>S94/T$73</f>
        <v>0</v>
      </c>
      <c r="U94" s="729">
        <f>Dean_HE!U97+ATID!U91+FSHS!U106+HMD!U93+'Human Nutrition'!U93</f>
        <v>0</v>
      </c>
      <c r="V94" s="454">
        <f>U94/V$73</f>
        <v>0</v>
      </c>
      <c r="W94" s="729">
        <f>Dean_HE!W97+ATID!W91+FSHS!W106+HMD!W93+'Human Nutrition'!W93+Kinesiology!W90</f>
        <v>0</v>
      </c>
      <c r="X94" s="454">
        <f>W94/X$73</f>
        <v>0</v>
      </c>
      <c r="Y94" s="729">
        <f>Dean_HE!Y97+ATID!Y91+FSHS!Y106+HMD!Y93+'Human Nutrition'!Y93+Kinesiology!Y90</f>
        <v>0</v>
      </c>
      <c r="Z94" s="454">
        <f>Y94/Z$73</f>
        <v>0</v>
      </c>
      <c r="AB94" s="667">
        <f t="shared" si="34"/>
        <v>0</v>
      </c>
      <c r="AC94" s="668">
        <f t="shared" si="35"/>
        <v>0</v>
      </c>
    </row>
    <row r="95" spans="1:31" ht="14.25" customHeight="1" thickTop="1" thickBot="1" x14ac:dyDescent="0.25">
      <c r="A95" s="272"/>
      <c r="B95" s="524" t="s">
        <v>104</v>
      </c>
      <c r="C95" s="1292" t="s">
        <v>27</v>
      </c>
      <c r="D95" s="1293"/>
      <c r="E95" s="1294" t="s">
        <v>28</v>
      </c>
      <c r="F95" s="1294"/>
      <c r="G95" s="1286" t="s">
        <v>83</v>
      </c>
      <c r="H95" s="1255"/>
      <c r="I95" s="1250" t="s">
        <v>93</v>
      </c>
      <c r="J95" s="1250"/>
      <c r="K95" s="1267" t="s">
        <v>94</v>
      </c>
      <c r="L95" s="1250"/>
      <c r="M95" s="1267" t="s">
        <v>100</v>
      </c>
      <c r="N95" s="1251"/>
      <c r="O95" s="1250" t="s">
        <v>143</v>
      </c>
      <c r="P95" s="1251"/>
      <c r="Q95" s="1250" t="s">
        <v>149</v>
      </c>
      <c r="R95" s="1251"/>
      <c r="S95" s="1250" t="s">
        <v>167</v>
      </c>
      <c r="T95" s="1251"/>
      <c r="U95" s="1250" t="s">
        <v>181</v>
      </c>
      <c r="V95" s="1251"/>
      <c r="W95" s="1250" t="s">
        <v>194</v>
      </c>
      <c r="X95" s="1251"/>
      <c r="Y95" s="1250" t="s">
        <v>203</v>
      </c>
      <c r="Z95" s="1251"/>
      <c r="AB95" s="1259" t="s">
        <v>133</v>
      </c>
      <c r="AC95" s="1268"/>
      <c r="AD95"/>
      <c r="AE95"/>
    </row>
    <row r="96" spans="1:31" ht="14.25" customHeight="1" x14ac:dyDescent="0.2">
      <c r="A96" s="272"/>
      <c r="B96" s="525"/>
      <c r="C96" s="67" t="s">
        <v>74</v>
      </c>
      <c r="D96" s="526" t="s">
        <v>18</v>
      </c>
      <c r="E96" s="67" t="s">
        <v>74</v>
      </c>
      <c r="F96" s="526" t="s">
        <v>18</v>
      </c>
      <c r="G96" s="67" t="s">
        <v>74</v>
      </c>
      <c r="H96" s="526" t="s">
        <v>18</v>
      </c>
      <c r="I96" s="67" t="s">
        <v>74</v>
      </c>
      <c r="J96" s="526" t="s">
        <v>18</v>
      </c>
      <c r="K96" s="67" t="s">
        <v>74</v>
      </c>
      <c r="L96" s="526" t="s">
        <v>18</v>
      </c>
      <c r="M96" s="67" t="s">
        <v>74</v>
      </c>
      <c r="N96" s="526" t="s">
        <v>18</v>
      </c>
      <c r="O96" s="67" t="s">
        <v>74</v>
      </c>
      <c r="P96" s="526" t="s">
        <v>18</v>
      </c>
      <c r="Q96" s="67" t="s">
        <v>74</v>
      </c>
      <c r="R96" s="526" t="s">
        <v>18</v>
      </c>
      <c r="S96" s="203" t="s">
        <v>74</v>
      </c>
      <c r="T96" s="526" t="s">
        <v>18</v>
      </c>
      <c r="U96" s="203" t="s">
        <v>74</v>
      </c>
      <c r="V96" s="526" t="s">
        <v>18</v>
      </c>
      <c r="W96" s="203" t="s">
        <v>74</v>
      </c>
      <c r="X96" s="526" t="s">
        <v>18</v>
      </c>
      <c r="Y96" s="203" t="s">
        <v>74</v>
      </c>
      <c r="Z96" s="526" t="s">
        <v>18</v>
      </c>
      <c r="AA96" s="272"/>
      <c r="AB96" s="623" t="s">
        <v>74</v>
      </c>
      <c r="AC96" s="527" t="s">
        <v>18</v>
      </c>
      <c r="AD96"/>
      <c r="AE96"/>
    </row>
    <row r="97" spans="1:31" ht="14.25" customHeight="1" x14ac:dyDescent="0.2">
      <c r="A97" s="272"/>
      <c r="B97" s="417" t="s">
        <v>105</v>
      </c>
      <c r="C97" s="67">
        <f>Dean_HE!C100+ATID!C94+HMD!C96+'Human Nutrition'!C97+FSHS!C109</f>
        <v>46</v>
      </c>
      <c r="D97" s="741">
        <f>Dean_HE!D100+ATID!D94+HMD!D96+'Human Nutrition'!D97+FSHS!D109</f>
        <v>20.9</v>
      </c>
      <c r="E97" s="67">
        <f>Dean_HE!E100+ATID!E94+HMD!E96+'Human Nutrition'!E97+FSHS!E109</f>
        <v>46</v>
      </c>
      <c r="F97" s="741">
        <f>Dean_HE!F100+ATID!F94+HMD!F96+'Human Nutrition'!F97+FSHS!F109</f>
        <v>20.299999999999997</v>
      </c>
      <c r="G97" s="67">
        <f>Dean_HE!G100+ATID!G94+HMD!G96+'Human Nutrition'!G96+FSHS!G109</f>
        <v>45</v>
      </c>
      <c r="H97" s="741">
        <f>Dean_HE!H100+ATID!H94+HMD!H96+'Human Nutrition'!H96+FSHS!H109</f>
        <v>18.700000000000003</v>
      </c>
      <c r="I97" s="67">
        <f>Dean_HE!I100+ATID!I94+HMD!I96+'Human Nutrition'!I96+FSHS!I109</f>
        <v>49</v>
      </c>
      <c r="J97" s="742">
        <f>Dean_HE!J100+ATID!J94+HMD!J96+'Human Nutrition'!J96+FSHS!J109</f>
        <v>22.9</v>
      </c>
      <c r="K97" s="731">
        <f>Dean_HE!K100+ATID!K94+HMD!K96+'Human Nutrition'!K96+FSHS!K109</f>
        <v>58</v>
      </c>
      <c r="L97" s="741">
        <f>Dean_HE!L100+ATID!L94+HMD!L96+'Human Nutrition'!L96+FSHS!L109</f>
        <v>25.85</v>
      </c>
      <c r="M97" s="67">
        <f>Dean_HE!M100+ATID!M94+HMD!M96+'Human Nutrition'!M96+FSHS!M109</f>
        <v>61</v>
      </c>
      <c r="N97" s="741">
        <f>Dean_HE!N100+ATID!N94+HMD!N96+'Human Nutrition'!N96+FSHS!N109</f>
        <v>27.5</v>
      </c>
      <c r="O97" s="67">
        <f>Dean_HE!O100+ATID!O94+HMD!O96+'Human Nutrition'!O96+FSHS!O109</f>
        <v>60</v>
      </c>
      <c r="P97" s="741">
        <f>Dean_HE!P100+ATID!P94+HMD!P96+'Human Nutrition'!P96+FSHS!P109</f>
        <v>27.8</v>
      </c>
      <c r="Q97" s="67">
        <f>Dean_HE!Q100+ATID!Q94+HMD!Q96+'Human Nutrition'!Q96+FSHS!Q109</f>
        <v>56</v>
      </c>
      <c r="R97" s="741">
        <f>Dean_HE!R100+ATID!R94+HMD!R96+'Human Nutrition'!R96+FSHS!R109</f>
        <v>26.950000000000003</v>
      </c>
      <c r="S97" s="203">
        <f>Dean_HE!S100+ATID!S94+HMD!S96+'Human Nutrition'!S96+FSHS!S109</f>
        <v>56</v>
      </c>
      <c r="T97" s="997">
        <f>Dean_HE!T100+ATID!T94+HMD!T96+'Human Nutrition'!T96+FSHS!T109</f>
        <v>26.200000000000003</v>
      </c>
      <c r="U97" s="203">
        <f>Dean_HE!U100+ATID!U94+HMD!U96+'Human Nutrition'!U96+FSHS!U109</f>
        <v>53</v>
      </c>
      <c r="V97" s="997">
        <f>Dean_HE!V100+ATID!V94+HMD!V96+'Human Nutrition'!V96+FSHS!V109</f>
        <v>25.48</v>
      </c>
      <c r="W97" s="203">
        <f>Dean_HE!W100+ATID!W94+HMD!W96+'Human Nutrition'!W96+FSHS!W109+Kinesiology!W93</f>
        <v>70</v>
      </c>
      <c r="X97" s="997">
        <f>Dean_HE!X100+ATID!X94+HMD!X96+'Human Nutrition'!X96+FSHS!X109+Kinesiology!X93</f>
        <v>33.1</v>
      </c>
      <c r="Y97" s="203">
        <f>Dean_HE!Y100+ATID!Y94+HMD!Y96+'Human Nutrition'!Y96+FSHS!Y109+Kinesiology!Y93</f>
        <v>71</v>
      </c>
      <c r="Z97" s="997">
        <f>Dean_HE!Z100+ATID!Z94+HMD!Z96+'Human Nutrition'!Z96+FSHS!Z109+Kinesiology!Z93</f>
        <v>33.200000000000003</v>
      </c>
      <c r="AA97" s="825"/>
      <c r="AB97" s="926">
        <f>AVERAGE(W97,U97,S97,Q97,Y97)</f>
        <v>61.2</v>
      </c>
      <c r="AC97" s="927">
        <f t="shared" ref="AC97:AC99" si="36">AVERAGE(X97,V97,T97,R97,Z97)</f>
        <v>28.986000000000001</v>
      </c>
      <c r="AD97"/>
      <c r="AE97"/>
    </row>
    <row r="98" spans="1:31" ht="14.25" customHeight="1" x14ac:dyDescent="0.2">
      <c r="A98" s="272"/>
      <c r="B98" s="417" t="s">
        <v>106</v>
      </c>
      <c r="C98" s="67">
        <f>Dean_HE!C101+ATID!C95+HMD!C97+'Human Nutrition'!C98+FSHS!C110</f>
        <v>43</v>
      </c>
      <c r="D98" s="741">
        <f>Dean_HE!D101+ATID!D95+HMD!D97+'Human Nutrition'!D98+FSHS!D110</f>
        <v>20.3</v>
      </c>
      <c r="E98" s="67">
        <f>Dean_HE!E101+ATID!E95+HMD!E97+'Human Nutrition'!E98+FSHS!E110</f>
        <v>40</v>
      </c>
      <c r="F98" s="741">
        <f>Dean_HE!F101+ATID!F95+HMD!F97+'Human Nutrition'!F98+FSHS!F110</f>
        <v>18</v>
      </c>
      <c r="G98" s="67">
        <f>Dean_HE!G101+ATID!G95+HMD!G97+'Human Nutrition'!G97+FSHS!G110</f>
        <v>41</v>
      </c>
      <c r="H98" s="741">
        <f>Dean_HE!H101+ATID!H95+HMD!H97+'Human Nutrition'!H97+FSHS!H110</f>
        <v>19.5</v>
      </c>
      <c r="I98" s="67">
        <f>Dean_HE!I101+ATID!I95+HMD!I97+'Human Nutrition'!I97+FSHS!I110</f>
        <v>42</v>
      </c>
      <c r="J98" s="741">
        <f>Dean_HE!J101+ATID!J95+HMD!J97+'Human Nutrition'!J97+FSHS!J110</f>
        <v>19.600000000000001</v>
      </c>
      <c r="K98" s="67">
        <f>Dean_HE!K101+ATID!K95+HMD!K97+'Human Nutrition'!K97+FSHS!K110</f>
        <v>35</v>
      </c>
      <c r="L98" s="741">
        <f>Dean_HE!L101+ATID!L95+HMD!L97+'Human Nutrition'!L97+FSHS!L110</f>
        <v>16.3</v>
      </c>
      <c r="M98" s="67">
        <f>Dean_HE!M101+ATID!M95+HMD!M97+'Human Nutrition'!M97+FSHS!M110</f>
        <v>37</v>
      </c>
      <c r="N98" s="741">
        <f>Dean_HE!N101+ATID!N95+HMD!N97+'Human Nutrition'!N97+FSHS!N110</f>
        <v>17.5</v>
      </c>
      <c r="O98" s="67">
        <f>Dean_HE!O101+ATID!O95+HMD!O97+'Human Nutrition'!O97+FSHS!O110</f>
        <v>29</v>
      </c>
      <c r="P98" s="741">
        <f>Dean_HE!P101+ATID!P95+HMD!P97+'Human Nutrition'!P97+FSHS!P110</f>
        <v>13.8</v>
      </c>
      <c r="Q98" s="67">
        <f>Dean_HE!Q101+ATID!Q95+HMD!Q97+'Human Nutrition'!Q97+FSHS!Q110</f>
        <v>35</v>
      </c>
      <c r="R98" s="741">
        <f>Dean_HE!R101+ATID!R95+HMD!R97+'Human Nutrition'!R97+FSHS!R110</f>
        <v>17.5</v>
      </c>
      <c r="S98" s="203">
        <f>Dean_HE!S101+ATID!S95+HMD!S97+'Human Nutrition'!S97+FSHS!S110</f>
        <v>34</v>
      </c>
      <c r="T98" s="997">
        <f>Dean_HE!T101+ATID!T95+HMD!T97+'Human Nutrition'!T97+FSHS!T110</f>
        <v>16.8</v>
      </c>
      <c r="U98" s="203">
        <f>Dean_HE!U101+ATID!U95+HMD!U97+'Human Nutrition'!U97+FSHS!U110</f>
        <v>32</v>
      </c>
      <c r="V98" s="997">
        <f>Dean_HE!V101+ATID!V95+HMD!V97+'Human Nutrition'!V97+FSHS!V110</f>
        <v>13.9</v>
      </c>
      <c r="W98" s="203">
        <f>Dean_HE!W101+ATID!W95+HMD!W97+'Human Nutrition'!W97+FSHS!W110+Kinesiology!W94</f>
        <v>44</v>
      </c>
      <c r="X98" s="997">
        <f>Dean_HE!X101+ATID!X95+HMD!X97+'Human Nutrition'!X97+FSHS!X110+Kinesiology!X94</f>
        <v>21.5</v>
      </c>
      <c r="Y98" s="203">
        <f>Dean_HE!Y101+ATID!Y95+HMD!Y97+'Human Nutrition'!Y97+FSHS!Y110+Kinesiology!Y94</f>
        <v>50</v>
      </c>
      <c r="Z98" s="997">
        <f>Dean_HE!Z101+ATID!Z95+HMD!Z97+'Human Nutrition'!Z97+FSHS!Z110+Kinesiology!Z94</f>
        <v>24.6</v>
      </c>
      <c r="AA98" s="825"/>
      <c r="AB98" s="926">
        <f t="shared" ref="AB98:AB99" si="37">AVERAGE(W98,U98,S98,Q98,Y98)</f>
        <v>39</v>
      </c>
      <c r="AC98" s="927">
        <f t="shared" si="36"/>
        <v>18.860000000000003</v>
      </c>
      <c r="AD98"/>
      <c r="AE98"/>
    </row>
    <row r="99" spans="1:31" ht="14.25" customHeight="1" thickBot="1" x14ac:dyDescent="0.25">
      <c r="A99" s="272"/>
      <c r="B99" s="120" t="s">
        <v>132</v>
      </c>
      <c r="C99" s="67">
        <f>Dean_HE!C102+ATID!C96+HMD!C98+'Human Nutrition'!C99+FSHS!C111</f>
        <v>1</v>
      </c>
      <c r="D99" s="744">
        <f>Dean_HE!D102+ATID!D96+HMD!D98+'Human Nutrition'!D99+FSHS!D111</f>
        <v>0.5</v>
      </c>
      <c r="E99" s="67">
        <f>Dean_HE!E102+ATID!E96+HMD!E98+'Human Nutrition'!E99+FSHS!E111</f>
        <v>3</v>
      </c>
      <c r="F99" s="744">
        <f>Dean_HE!F102+ATID!F96+HMD!F98+'Human Nutrition'!F99+FSHS!F111</f>
        <v>0.8</v>
      </c>
      <c r="G99" s="67">
        <f>Dean_HE!G102+ATID!G96+HMD!G98+'Human Nutrition'!G98+FSHS!G111</f>
        <v>2</v>
      </c>
      <c r="H99" s="744">
        <f>Dean_HE!H102+ATID!H96+HMD!H98+'Human Nutrition'!H98+FSHS!H111</f>
        <v>0.5</v>
      </c>
      <c r="I99" s="67">
        <f>Dean_HE!I102+ATID!I96+HMD!I98+'Human Nutrition'!I98+FSHS!I111</f>
        <v>1</v>
      </c>
      <c r="J99" s="744">
        <f>Dean_HE!J102+ATID!J96+HMD!J98+'Human Nutrition'!J98+FSHS!J111</f>
        <v>0</v>
      </c>
      <c r="K99" s="67">
        <f>Dean_HE!K102+ATID!K96+HMD!K98+'Human Nutrition'!K98+FSHS!K111</f>
        <v>4</v>
      </c>
      <c r="L99" s="744">
        <f>Dean_HE!L102+ATID!L96+HMD!L98+'Human Nutrition'!L98+FSHS!L111</f>
        <v>1.5</v>
      </c>
      <c r="M99" s="67">
        <f>Dean_HE!M102+ATID!M96+HMD!M98+'Human Nutrition'!M98+FSHS!M111</f>
        <v>1</v>
      </c>
      <c r="N99" s="741">
        <f>Dean_HE!N102+ATID!N96+HMD!N98+'Human Nutrition'!N98+FSHS!N111</f>
        <v>0.5</v>
      </c>
      <c r="O99" s="67">
        <f>Dean_HE!O102+ATID!O96+HMD!O98+'Human Nutrition'!O98+FSHS!O111</f>
        <v>2</v>
      </c>
      <c r="P99" s="741">
        <f>Dean_HE!P102+ATID!P96+HMD!P98+'Human Nutrition'!P98+FSHS!P111</f>
        <v>0.7</v>
      </c>
      <c r="Q99" s="67">
        <f>Dean_HE!Q102+ATID!Q96+HMD!Q98+'Human Nutrition'!Q98+FSHS!Q111</f>
        <v>0</v>
      </c>
      <c r="R99" s="741">
        <f>Dean_HE!R102+ATID!R96+HMD!R98+'Human Nutrition'!R98+FSHS!R111</f>
        <v>0</v>
      </c>
      <c r="S99" s="203">
        <f>Dean_HE!S102+ATID!S96+HMD!S98+'Human Nutrition'!S98+FSHS!S111</f>
        <v>0</v>
      </c>
      <c r="T99" s="997">
        <f>Dean_HE!T102+ATID!T96+HMD!T98+'Human Nutrition'!T98+FSHS!T111</f>
        <v>0</v>
      </c>
      <c r="U99" s="203">
        <f>Dean_HE!U102+ATID!U96+HMD!U98+'Human Nutrition'!U98+FSHS!U111</f>
        <v>1</v>
      </c>
      <c r="V99" s="997">
        <f>Dean_HE!V102+ATID!V96+HMD!V98+'Human Nutrition'!V98+FSHS!V111</f>
        <v>0.3</v>
      </c>
      <c r="W99" s="203">
        <f>Dean_HE!W102+ATID!W96+HMD!W98+'Human Nutrition'!W98+FSHS!W111+Kinesiology!W95</f>
        <v>5</v>
      </c>
      <c r="X99" s="997">
        <f>Dean_HE!X102+ATID!X96+HMD!X98+'Human Nutrition'!X98+FSHS!X111+Kinesiology!X95</f>
        <v>2.1999999999999997</v>
      </c>
      <c r="Y99" s="203">
        <f>Dean_HE!Y102+ATID!Y96+HMD!Y98+'Human Nutrition'!Y98+FSHS!Y111+Kinesiology!Y95</f>
        <v>4</v>
      </c>
      <c r="Z99" s="997">
        <f>Dean_HE!Z102+ATID!Z96+HMD!Z98+'Human Nutrition'!Z98+FSHS!Z111+Kinesiology!Z95</f>
        <v>1.8</v>
      </c>
      <c r="AA99" s="825"/>
      <c r="AB99" s="928">
        <f t="shared" si="37"/>
        <v>2</v>
      </c>
      <c r="AC99" s="929">
        <f t="shared" si="36"/>
        <v>0.86</v>
      </c>
      <c r="AD99"/>
      <c r="AE99"/>
    </row>
    <row r="100" spans="1:31" ht="17.25" thickTop="1" thickBot="1" x14ac:dyDescent="0.3">
      <c r="A100" s="534"/>
      <c r="B100" s="535"/>
      <c r="C100" s="1282" t="s">
        <v>29</v>
      </c>
      <c r="D100" s="1295"/>
      <c r="E100" s="1282" t="s">
        <v>30</v>
      </c>
      <c r="F100" s="1295"/>
      <c r="G100" s="1280" t="s">
        <v>120</v>
      </c>
      <c r="H100" s="1253"/>
      <c r="I100" s="1280" t="s">
        <v>121</v>
      </c>
      <c r="J100" s="1291"/>
      <c r="K100" s="1280" t="s">
        <v>122</v>
      </c>
      <c r="L100" s="1291"/>
      <c r="M100" s="1269" t="s">
        <v>123</v>
      </c>
      <c r="N100" s="1253"/>
      <c r="O100" s="1252" t="s">
        <v>154</v>
      </c>
      <c r="P100" s="1253"/>
      <c r="Q100" s="1252" t="s">
        <v>150</v>
      </c>
      <c r="R100" s="1253"/>
      <c r="S100" s="1252" t="s">
        <v>164</v>
      </c>
      <c r="T100" s="1253"/>
      <c r="U100" s="1252" t="s">
        <v>182</v>
      </c>
      <c r="V100" s="1253"/>
      <c r="W100" s="1252" t="s">
        <v>195</v>
      </c>
      <c r="X100" s="1253"/>
      <c r="Y100" s="1252" t="s">
        <v>204</v>
      </c>
      <c r="Z100" s="1253"/>
      <c r="AA100" s="664"/>
      <c r="AB100" s="1261"/>
      <c r="AC100" s="1261"/>
      <c r="AD100"/>
      <c r="AE100"/>
    </row>
    <row r="101" spans="1:31" x14ac:dyDescent="0.2">
      <c r="B101" s="418" t="s">
        <v>131</v>
      </c>
      <c r="C101" s="1"/>
      <c r="D101" s="537"/>
      <c r="E101" s="538"/>
      <c r="F101" s="539"/>
      <c r="G101" s="540"/>
      <c r="H101" s="541"/>
      <c r="I101" s="542"/>
      <c r="J101" s="414"/>
      <c r="K101" s="543"/>
      <c r="L101" s="544"/>
      <c r="M101" s="543"/>
      <c r="N101" s="559"/>
      <c r="O101" s="95"/>
      <c r="P101" s="847"/>
      <c r="Q101" s="543"/>
      <c r="R101" s="559"/>
      <c r="S101" s="543"/>
      <c r="T101" s="559"/>
      <c r="U101" s="95"/>
      <c r="V101" s="847"/>
      <c r="W101" s="543"/>
      <c r="X101" s="559"/>
      <c r="Y101" s="543"/>
      <c r="Z101" s="559"/>
      <c r="AA101" s="4"/>
      <c r="AB101" s="4"/>
      <c r="AC101" s="4" t="s">
        <v>19</v>
      </c>
      <c r="AD101"/>
      <c r="AE101"/>
    </row>
    <row r="102" spans="1:31" x14ac:dyDescent="0.2">
      <c r="A102" s="272"/>
      <c r="B102" s="545" t="s">
        <v>110</v>
      </c>
      <c r="C102" s="1302">
        <f>ATID!C99+HMD!C101+'Human Nutrition'!C102+FSHS!C114</f>
        <v>31.14</v>
      </c>
      <c r="D102" s="1303"/>
      <c r="E102" s="548"/>
      <c r="F102" s="549"/>
      <c r="G102" s="550"/>
      <c r="H102" s="551"/>
      <c r="I102" s="1304">
        <f>ATID!I99+HMD!I101+'Human Nutrition'!I101+FSHS!I114+Dean_HE!I105</f>
        <v>26.66</v>
      </c>
      <c r="J102" s="1305"/>
      <c r="K102" s="552"/>
      <c r="L102" s="553"/>
      <c r="M102" s="552"/>
      <c r="N102" s="559"/>
      <c r="O102" s="202"/>
      <c r="P102" s="885">
        <f>Dean_HE!P105+ATID!P99+FSHS!P114+HMD!P101+'Human Nutrition'!P101</f>
        <v>47.4</v>
      </c>
      <c r="Q102" s="552"/>
      <c r="R102" s="559"/>
      <c r="S102" s="552"/>
      <c r="T102" s="559"/>
      <c r="U102" s="202"/>
      <c r="V102" s="885">
        <v>57.02</v>
      </c>
      <c r="W102" s="552"/>
      <c r="X102" s="559"/>
      <c r="Y102" s="552"/>
      <c r="Z102" s="559"/>
      <c r="AA102" s="4"/>
      <c r="AB102" s="4"/>
      <c r="AC102" s="880"/>
      <c r="AD102"/>
      <c r="AE102"/>
    </row>
    <row r="103" spans="1:31" x14ac:dyDescent="0.2">
      <c r="A103" s="272"/>
      <c r="B103" s="554" t="s">
        <v>111</v>
      </c>
      <c r="C103" s="546"/>
      <c r="D103" s="547"/>
      <c r="E103" s="548"/>
      <c r="F103" s="549"/>
      <c r="G103" s="550"/>
      <c r="H103" s="551"/>
      <c r="I103" s="560"/>
      <c r="J103" s="561"/>
      <c r="K103" s="552"/>
      <c r="L103" s="553"/>
      <c r="M103" s="552"/>
      <c r="N103" s="559"/>
      <c r="O103" s="202"/>
      <c r="P103" s="885"/>
      <c r="Q103" s="552"/>
      <c r="R103" s="559"/>
      <c r="S103" s="552"/>
      <c r="T103" s="559"/>
      <c r="U103" s="202"/>
      <c r="V103" s="885"/>
      <c r="W103" s="552"/>
      <c r="X103" s="559"/>
      <c r="Y103" s="552"/>
      <c r="Z103" s="559"/>
      <c r="AA103" s="4"/>
      <c r="AB103" s="4"/>
      <c r="AC103" s="880"/>
      <c r="AD103"/>
      <c r="AE103"/>
    </row>
    <row r="104" spans="1:31" x14ac:dyDescent="0.2">
      <c r="A104" s="272"/>
      <c r="B104" s="554" t="s">
        <v>112</v>
      </c>
      <c r="C104" s="1302">
        <f>ATID!C101+HMD!C103+'Human Nutrition'!C104+FSHS!C116</f>
        <v>1.4</v>
      </c>
      <c r="D104" s="1303"/>
      <c r="E104" s="548"/>
      <c r="F104" s="549"/>
      <c r="G104" s="550"/>
      <c r="H104" s="551"/>
      <c r="I104" s="1304">
        <f>ATID!I101+HMD!I103+'Human Nutrition'!I103+FSHS!I116+Dean_HE!I107</f>
        <v>5.5</v>
      </c>
      <c r="J104" s="1305"/>
      <c r="K104" s="552"/>
      <c r="L104" s="553"/>
      <c r="M104" s="552"/>
      <c r="N104" s="559"/>
      <c r="O104" s="202"/>
      <c r="P104" s="885">
        <f>Dean_HE!P107+ATID!P101+FSHS!P116+HMD!P103+'Human Nutrition'!P103</f>
        <v>8</v>
      </c>
      <c r="Q104" s="552"/>
      <c r="R104" s="559"/>
      <c r="S104" s="552"/>
      <c r="T104" s="559"/>
      <c r="U104" s="202"/>
      <c r="V104" s="885">
        <v>10.25</v>
      </c>
      <c r="W104" s="552"/>
      <c r="X104" s="559"/>
      <c r="Y104" s="552"/>
      <c r="Z104" s="559"/>
      <c r="AA104" s="4"/>
      <c r="AB104" s="4"/>
      <c r="AC104" s="880"/>
      <c r="AD104"/>
      <c r="AE104"/>
    </row>
    <row r="105" spans="1:31" x14ac:dyDescent="0.2">
      <c r="A105" s="272"/>
      <c r="B105" s="545" t="s">
        <v>113</v>
      </c>
      <c r="C105" s="1302">
        <f>ATID!C102+HMD!C104+'Human Nutrition'!C105+FSHS!C117</f>
        <v>16.3</v>
      </c>
      <c r="D105" s="1303"/>
      <c r="E105" s="548"/>
      <c r="F105" s="549"/>
      <c r="G105" s="550"/>
      <c r="H105" s="551"/>
      <c r="I105" s="1304">
        <f>ATID!I102+HMD!I104+'Human Nutrition'!I104+FSHS!I117+Dean_HE!I108</f>
        <v>14.299999999999999</v>
      </c>
      <c r="J105" s="1305"/>
      <c r="K105" s="552"/>
      <c r="L105" s="553"/>
      <c r="M105" s="552"/>
      <c r="N105" s="559"/>
      <c r="O105" s="202"/>
      <c r="P105" s="885">
        <f>Dean_HE!P108+ATID!P102+FSHS!P117+HMD!P104+'Human Nutrition'!P104</f>
        <v>5.7</v>
      </c>
      <c r="Q105" s="552"/>
      <c r="R105" s="559"/>
      <c r="S105" s="552"/>
      <c r="T105" s="559"/>
      <c r="U105" s="202"/>
      <c r="V105" s="885">
        <v>7.75</v>
      </c>
      <c r="W105" s="552"/>
      <c r="X105" s="559"/>
      <c r="Y105" s="552"/>
      <c r="Z105" s="559"/>
      <c r="AA105" s="4"/>
      <c r="AB105" s="4"/>
      <c r="AC105" s="880"/>
      <c r="AD105"/>
      <c r="AE105"/>
    </row>
    <row r="106" spans="1:31" x14ac:dyDescent="0.2">
      <c r="A106" s="272"/>
      <c r="B106" s="555" t="s">
        <v>114</v>
      </c>
      <c r="C106" s="1302">
        <f>ATID!C103+HMD!C105+'Human Nutrition'!C106+FSHS!C118</f>
        <v>13</v>
      </c>
      <c r="D106" s="1303"/>
      <c r="E106" s="548"/>
      <c r="F106" s="549"/>
      <c r="G106" s="550"/>
      <c r="H106" s="551"/>
      <c r="I106" s="1304">
        <f>ATID!I103+HMD!I105+'Human Nutrition'!I105+FSHS!I118+Dean_HE!I109</f>
        <v>19.450000000000003</v>
      </c>
      <c r="J106" s="1305"/>
      <c r="K106" s="552"/>
      <c r="L106" s="553"/>
      <c r="M106" s="552"/>
      <c r="N106" s="559"/>
      <c r="O106" s="202"/>
      <c r="P106" s="885">
        <f>Dean_HE!P109+ATID!P103+FSHS!P118+HMD!P105+'Human Nutrition'!P105</f>
        <v>24.799999999999997</v>
      </c>
      <c r="Q106" s="552"/>
      <c r="R106" s="559"/>
      <c r="S106" s="552"/>
      <c r="T106" s="559"/>
      <c r="U106" s="202"/>
      <c r="V106" s="885">
        <f>26.18+10.87</f>
        <v>37.049999999999997</v>
      </c>
      <c r="W106" s="552"/>
      <c r="X106" s="559"/>
      <c r="Y106" s="552"/>
      <c r="Z106" s="559"/>
      <c r="AA106" s="4"/>
      <c r="AB106" s="4"/>
      <c r="AC106" s="880"/>
      <c r="AD106"/>
      <c r="AE106"/>
    </row>
    <row r="107" spans="1:31" x14ac:dyDescent="0.2">
      <c r="A107" s="272"/>
      <c r="B107" s="555" t="s">
        <v>115</v>
      </c>
      <c r="C107" s="1302">
        <f>ATID!C104+HMD!C106+'Human Nutrition'!C107+FSHS!C119</f>
        <v>64.84</v>
      </c>
      <c r="D107" s="1303"/>
      <c r="E107" s="548"/>
      <c r="F107" s="549"/>
      <c r="G107" s="550"/>
      <c r="H107" s="551"/>
      <c r="I107" s="1304">
        <f>ATID!I104+HMD!I106+'Human Nutrition'!I106+FSHS!I119+Dean_HE!I110</f>
        <v>66.41</v>
      </c>
      <c r="J107" s="1305"/>
      <c r="K107" s="552"/>
      <c r="L107" s="553"/>
      <c r="M107" s="552"/>
      <c r="N107" s="559"/>
      <c r="O107" s="202"/>
      <c r="P107" s="885">
        <f>Dean_HE!P110+ATID!P104+FSHS!P119+HMD!P106+'Human Nutrition'!P106</f>
        <v>85.9</v>
      </c>
      <c r="Q107" s="552"/>
      <c r="R107" s="559"/>
      <c r="S107" s="552"/>
      <c r="T107" s="559"/>
      <c r="U107" s="202"/>
      <c r="V107" s="885">
        <f>SUM(V102:V106)</f>
        <v>112.07000000000001</v>
      </c>
      <c r="W107" s="552"/>
      <c r="X107" s="559"/>
      <c r="Y107" s="552"/>
      <c r="Z107" s="559"/>
      <c r="AA107" s="4"/>
      <c r="AB107" s="4"/>
      <c r="AC107" s="880"/>
      <c r="AD107"/>
      <c r="AE107"/>
    </row>
    <row r="108" spans="1:31" ht="13.5" thickBot="1" x14ac:dyDescent="0.25">
      <c r="A108" s="272"/>
      <c r="B108" s="556" t="s">
        <v>125</v>
      </c>
      <c r="C108" s="1302"/>
      <c r="D108" s="1303"/>
      <c r="E108" s="548"/>
      <c r="F108" s="549"/>
      <c r="G108" s="550"/>
      <c r="H108" s="551"/>
      <c r="I108" s="1302"/>
      <c r="J108" s="1303"/>
      <c r="K108" s="552"/>
      <c r="L108" s="553"/>
      <c r="M108" s="552"/>
      <c r="N108" s="559"/>
      <c r="O108" s="202"/>
      <c r="P108" s="847"/>
      <c r="Q108" s="552"/>
      <c r="R108" s="559"/>
      <c r="S108" s="552"/>
      <c r="T108" s="559"/>
      <c r="U108" s="202"/>
      <c r="V108" s="847"/>
      <c r="W108" s="552"/>
      <c r="X108" s="559"/>
      <c r="Y108" s="552"/>
      <c r="Z108" s="559"/>
      <c r="AA108" s="4"/>
      <c r="AB108" s="4"/>
      <c r="AC108" s="880"/>
      <c r="AD108"/>
      <c r="AE108"/>
    </row>
    <row r="109" spans="1:31" x14ac:dyDescent="0.2">
      <c r="A109" s="272"/>
      <c r="B109" s="545" t="s">
        <v>116</v>
      </c>
      <c r="C109" s="1314">
        <f>ATID!C106+HMD!C108+'Human Nutrition'!C109+FSHS!C121</f>
        <v>8230</v>
      </c>
      <c r="D109" s="1315"/>
      <c r="E109" s="557"/>
      <c r="F109" s="558"/>
      <c r="G109" s="543"/>
      <c r="H109" s="559"/>
      <c r="I109" s="1314">
        <f>ATID!I106+HMD!I108+'Human Nutrition'!I108+FSHS!I121+Dean_HE!I112</f>
        <v>5752</v>
      </c>
      <c r="J109" s="1315"/>
      <c r="K109" s="552"/>
      <c r="L109" s="553"/>
      <c r="M109" s="552"/>
      <c r="N109" s="559"/>
      <c r="O109" s="202"/>
      <c r="P109" s="869">
        <f>Dean_HE!P112+ATID!P106+FSHS!P121+HMD!P108+'Human Nutrition'!P108</f>
        <v>8996</v>
      </c>
      <c r="Q109" s="552"/>
      <c r="R109" s="559"/>
      <c r="S109" s="552"/>
      <c r="T109" s="559"/>
      <c r="U109" s="202"/>
      <c r="V109" s="869">
        <v>8611</v>
      </c>
      <c r="W109" s="552"/>
      <c r="X109" s="559"/>
      <c r="Y109" s="552"/>
      <c r="Z109" s="559"/>
      <c r="AA109" s="4"/>
      <c r="AB109" s="4"/>
      <c r="AC109" s="890"/>
      <c r="AD109"/>
      <c r="AE109"/>
    </row>
    <row r="110" spans="1:31" x14ac:dyDescent="0.2">
      <c r="A110" s="272"/>
      <c r="B110" s="555" t="s">
        <v>117</v>
      </c>
      <c r="C110" s="1314">
        <f>ATID!C107+HMD!C109+'Human Nutrition'!C110+FSHS!C122</f>
        <v>1562</v>
      </c>
      <c r="D110" s="1315"/>
      <c r="E110" s="557"/>
      <c r="F110" s="558"/>
      <c r="G110" s="543"/>
      <c r="H110" s="559"/>
      <c r="I110" s="1314">
        <f>ATID!I107+HMD!I109+'Human Nutrition'!I109+FSHS!I122+Dean_HE!I113</f>
        <v>2092</v>
      </c>
      <c r="J110" s="1315"/>
      <c r="K110" s="552"/>
      <c r="L110" s="553" t="s">
        <v>19</v>
      </c>
      <c r="M110" s="552"/>
      <c r="N110" s="559"/>
      <c r="O110" s="202"/>
      <c r="P110" s="869">
        <f>Dean_HE!P113+ATID!P107+FSHS!P122+HMD!P109+'Human Nutrition'!P109</f>
        <v>4454</v>
      </c>
      <c r="Q110" s="552"/>
      <c r="R110" s="559"/>
      <c r="S110" s="552"/>
      <c r="T110" s="559"/>
      <c r="U110" s="202"/>
      <c r="V110" s="869">
        <v>2756</v>
      </c>
      <c r="W110" s="552"/>
      <c r="X110" s="559"/>
      <c r="Y110" s="552"/>
      <c r="Z110" s="559"/>
      <c r="AA110" s="4"/>
      <c r="AB110" s="4"/>
      <c r="AC110" s="890"/>
      <c r="AD110"/>
      <c r="AE110"/>
    </row>
    <row r="111" spans="1:31" x14ac:dyDescent="0.2">
      <c r="A111" s="272"/>
      <c r="B111" s="555" t="s">
        <v>118</v>
      </c>
      <c r="C111" s="1314">
        <f>ATID!C108+HMD!C110+'Human Nutrition'!C111+FSHS!C123</f>
        <v>5521</v>
      </c>
      <c r="D111" s="1315"/>
      <c r="E111" s="557"/>
      <c r="F111" s="558"/>
      <c r="G111" s="543"/>
      <c r="H111" s="559"/>
      <c r="I111" s="1314">
        <f>ATID!I108+HMD!I110+'Human Nutrition'!I110+FSHS!I123+Dean_HE!I114</f>
        <v>7474</v>
      </c>
      <c r="J111" s="1315"/>
      <c r="K111" s="552"/>
      <c r="L111" s="553"/>
      <c r="M111" s="552"/>
      <c r="N111" s="559"/>
      <c r="O111" s="202"/>
      <c r="P111" s="869">
        <f>Dean_HE!P114+ATID!P108+FSHS!P123+HMD!P110+'Human Nutrition'!P110</f>
        <v>5202</v>
      </c>
      <c r="Q111" s="552"/>
      <c r="R111" s="559"/>
      <c r="S111" s="552"/>
      <c r="T111" s="559"/>
      <c r="U111" s="202"/>
      <c r="V111" s="869">
        <f>6094+4331</f>
        <v>10425</v>
      </c>
      <c r="W111" s="552"/>
      <c r="X111" s="559"/>
      <c r="Y111" s="552"/>
      <c r="Z111" s="559"/>
      <c r="AA111" s="4"/>
      <c r="AB111" s="4"/>
      <c r="AC111" s="890"/>
      <c r="AD111"/>
      <c r="AE111"/>
    </row>
    <row r="112" spans="1:31" x14ac:dyDescent="0.2">
      <c r="A112" s="272"/>
      <c r="B112" s="555" t="s">
        <v>130</v>
      </c>
      <c r="C112" s="1314">
        <f>ATID!C109+HMD!C111+'Human Nutrition'!C112+FSHS!C124</f>
        <v>15313</v>
      </c>
      <c r="D112" s="1315"/>
      <c r="E112" s="557"/>
      <c r="F112" s="558"/>
      <c r="G112" s="543"/>
      <c r="H112" s="559"/>
      <c r="I112" s="1314">
        <f>ATID!I109+HMD!I111+'Human Nutrition'!I111+FSHS!I124+Dean_HE!I115</f>
        <v>15318</v>
      </c>
      <c r="J112" s="1315"/>
      <c r="K112" s="552"/>
      <c r="L112" s="553"/>
      <c r="M112" s="552"/>
      <c r="N112" s="559"/>
      <c r="O112" s="202"/>
      <c r="P112" s="869">
        <f>Dean_HE!P115+ATID!P109+FSHS!P124+HMD!P111+'Human Nutrition'!P111</f>
        <v>18652</v>
      </c>
      <c r="Q112" s="552"/>
      <c r="R112" s="559"/>
      <c r="S112" s="552"/>
      <c r="T112" s="559"/>
      <c r="U112" s="202"/>
      <c r="V112" s="869">
        <f>SUM(V109:V111)</f>
        <v>21792</v>
      </c>
      <c r="W112" s="552"/>
      <c r="X112" s="559"/>
      <c r="Y112" s="552"/>
      <c r="Z112" s="559"/>
      <c r="AA112" s="4"/>
      <c r="AB112" s="4"/>
      <c r="AC112" s="890"/>
      <c r="AD112"/>
      <c r="AE112"/>
    </row>
    <row r="113" spans="1:31" ht="13.5" thickBot="1" x14ac:dyDescent="0.25">
      <c r="A113" s="272"/>
      <c r="B113" s="556" t="s">
        <v>126</v>
      </c>
      <c r="C113" s="1304"/>
      <c r="D113" s="1300"/>
      <c r="E113" s="557"/>
      <c r="F113" s="558"/>
      <c r="G113" s="543"/>
      <c r="H113" s="559"/>
      <c r="I113" s="1304"/>
      <c r="J113" s="1300"/>
      <c r="K113" s="552"/>
      <c r="L113" s="553"/>
      <c r="M113" s="552"/>
      <c r="N113" s="559"/>
      <c r="O113" s="202"/>
      <c r="P113" s="847"/>
      <c r="Q113" s="552"/>
      <c r="R113" s="559"/>
      <c r="S113" s="552"/>
      <c r="T113" s="559"/>
      <c r="U113" s="202"/>
      <c r="V113" s="847"/>
      <c r="W113" s="552"/>
      <c r="X113" s="559"/>
      <c r="Y113" s="552"/>
      <c r="Z113" s="559"/>
      <c r="AA113" s="4"/>
      <c r="AB113" s="4"/>
      <c r="AC113" s="889"/>
      <c r="AD113"/>
      <c r="AE113"/>
    </row>
    <row r="114" spans="1:31" x14ac:dyDescent="0.2">
      <c r="A114" s="272"/>
      <c r="B114" s="545" t="s">
        <v>127</v>
      </c>
      <c r="C114" s="1312">
        <f>C109/C102</f>
        <v>264.29030186255619</v>
      </c>
      <c r="D114" s="1313"/>
      <c r="E114" s="602"/>
      <c r="F114" s="603"/>
      <c r="G114" s="604"/>
      <c r="H114" s="605"/>
      <c r="I114" s="1312">
        <f>I109/I102</f>
        <v>215.75393848462116</v>
      </c>
      <c r="J114" s="1313"/>
      <c r="K114" s="552"/>
      <c r="L114" s="566"/>
      <c r="M114" s="552"/>
      <c r="N114" s="559"/>
      <c r="O114" s="202"/>
      <c r="P114" s="870">
        <f>P109/P102</f>
        <v>189.78902953586498</v>
      </c>
      <c r="Q114" s="552"/>
      <c r="R114" s="559"/>
      <c r="S114" s="552"/>
      <c r="T114" s="559"/>
      <c r="U114" s="202"/>
      <c r="V114" s="870">
        <f>V109/V102</f>
        <v>151.01718695194668</v>
      </c>
      <c r="W114" s="552"/>
      <c r="X114" s="559"/>
      <c r="Y114" s="552"/>
      <c r="Z114" s="559"/>
      <c r="AA114" s="4"/>
      <c r="AB114" s="4"/>
      <c r="AC114" s="889"/>
      <c r="AD114"/>
      <c r="AE114"/>
    </row>
    <row r="115" spans="1:31" x14ac:dyDescent="0.2">
      <c r="A115" s="272"/>
      <c r="B115" s="555" t="s">
        <v>128</v>
      </c>
      <c r="C115" s="1312">
        <f>C110/C104</f>
        <v>1115.7142857142858</v>
      </c>
      <c r="D115" s="1313"/>
      <c r="E115" s="602"/>
      <c r="F115" s="603"/>
      <c r="G115" s="604"/>
      <c r="H115" s="605"/>
      <c r="I115" s="1312">
        <f>I110/I104</f>
        <v>380.36363636363637</v>
      </c>
      <c r="J115" s="1313"/>
      <c r="K115" s="552"/>
      <c r="L115" s="566"/>
      <c r="M115" s="552"/>
      <c r="N115" s="559"/>
      <c r="O115" s="202"/>
      <c r="P115" s="870">
        <f>P110/P104</f>
        <v>556.75</v>
      </c>
      <c r="Q115" s="552"/>
      <c r="R115" s="559"/>
      <c r="S115" s="552"/>
      <c r="T115" s="559"/>
      <c r="U115" s="202"/>
      <c r="V115" s="870">
        <f>V110/(V104+V105)</f>
        <v>153.11111111111111</v>
      </c>
      <c r="W115" s="552"/>
      <c r="X115" s="559"/>
      <c r="Y115" s="552"/>
      <c r="Z115" s="559"/>
      <c r="AA115" s="4"/>
      <c r="AB115" s="4"/>
      <c r="AC115" s="889"/>
      <c r="AD115"/>
      <c r="AE115"/>
    </row>
    <row r="116" spans="1:31" x14ac:dyDescent="0.2">
      <c r="A116" s="272"/>
      <c r="B116" s="555" t="s">
        <v>129</v>
      </c>
      <c r="C116" s="1312">
        <f>C111/C106</f>
        <v>424.69230769230768</v>
      </c>
      <c r="D116" s="1313"/>
      <c r="E116" s="602"/>
      <c r="F116" s="603"/>
      <c r="G116" s="604"/>
      <c r="H116" s="605"/>
      <c r="I116" s="1312">
        <f>I111/I106</f>
        <v>384.26735218508992</v>
      </c>
      <c r="J116" s="1313"/>
      <c r="K116" s="552"/>
      <c r="L116" s="566"/>
      <c r="M116" s="552"/>
      <c r="N116" s="559"/>
      <c r="O116" s="202"/>
      <c r="P116" s="870">
        <f>P111/P106</f>
        <v>209.75806451612905</v>
      </c>
      <c r="Q116" s="552"/>
      <c r="R116" s="559"/>
      <c r="S116" s="552"/>
      <c r="T116" s="559"/>
      <c r="U116" s="202"/>
      <c r="V116" s="870">
        <f>V111/V106</f>
        <v>281.37651821862352</v>
      </c>
      <c r="W116" s="552"/>
      <c r="X116" s="559"/>
      <c r="Y116" s="552"/>
      <c r="Z116" s="559"/>
      <c r="AA116" s="4"/>
      <c r="AB116" s="4"/>
      <c r="AC116" s="889"/>
      <c r="AD116"/>
      <c r="AE116"/>
    </row>
    <row r="117" spans="1:31" ht="13.5" thickBot="1" x14ac:dyDescent="0.25">
      <c r="A117" s="272"/>
      <c r="B117" s="568" t="s">
        <v>119</v>
      </c>
      <c r="C117" s="1310">
        <f>C112/C107</f>
        <v>236.16594694632943</v>
      </c>
      <c r="D117" s="1311"/>
      <c r="E117" s="606"/>
      <c r="F117" s="607"/>
      <c r="G117" s="608"/>
      <c r="H117" s="609"/>
      <c r="I117" s="1310">
        <f>I112/I107</f>
        <v>230.65803342870052</v>
      </c>
      <c r="J117" s="1311"/>
      <c r="K117" s="573"/>
      <c r="L117" s="574"/>
      <c r="M117" s="573"/>
      <c r="N117" s="574"/>
      <c r="O117" s="413"/>
      <c r="P117" s="871">
        <f>P112/P107</f>
        <v>217.13620488940626</v>
      </c>
      <c r="Q117" s="573"/>
      <c r="R117" s="574"/>
      <c r="S117" s="573"/>
      <c r="T117" s="574"/>
      <c r="U117" s="413"/>
      <c r="V117" s="871">
        <f>V112/V107</f>
        <v>194.44989738556259</v>
      </c>
      <c r="W117" s="573"/>
      <c r="X117" s="574"/>
      <c r="Y117" s="573"/>
      <c r="Z117" s="574"/>
      <c r="AA117" s="4"/>
      <c r="AB117" s="4"/>
      <c r="AC117" s="889"/>
      <c r="AD117"/>
      <c r="AE117"/>
    </row>
    <row r="118" spans="1:31" s="95" customFormat="1" ht="13.5" thickTop="1" x14ac:dyDescent="0.2">
      <c r="B118" s="868" t="s">
        <v>196</v>
      </c>
      <c r="AB118" s="1"/>
      <c r="AC118" s="1"/>
    </row>
    <row r="119" spans="1:31" s="95" customFormat="1" ht="12" x14ac:dyDescent="0.2">
      <c r="AB119" s="1"/>
      <c r="AC119" s="1"/>
    </row>
    <row r="120" spans="1:31" s="95" customFormat="1" ht="12" x14ac:dyDescent="0.2">
      <c r="AB120" s="1"/>
      <c r="AC120" s="1"/>
    </row>
    <row r="121" spans="1:31" s="95" customFormat="1" ht="12" x14ac:dyDescent="0.2">
      <c r="L121" s="95" t="s">
        <v>19</v>
      </c>
      <c r="AB121" s="1"/>
      <c r="AC121" s="1"/>
    </row>
    <row r="122" spans="1:31" s="95" customFormat="1" ht="12" x14ac:dyDescent="0.2">
      <c r="AB122" s="1"/>
      <c r="AC122" s="1"/>
    </row>
    <row r="123" spans="1:31" s="95" customFormat="1" ht="12" x14ac:dyDescent="0.2">
      <c r="AB123" s="1"/>
      <c r="AC123" s="1"/>
    </row>
    <row r="124" spans="1:31" s="95" customFormat="1" x14ac:dyDescent="0.2">
      <c r="C124" s="199"/>
      <c r="AB124" s="1"/>
      <c r="AC124" s="1"/>
    </row>
    <row r="125" spans="1:31" s="95" customFormat="1" x14ac:dyDescent="0.2">
      <c r="C125" s="199"/>
      <c r="AB125" s="1"/>
      <c r="AC125" s="1"/>
    </row>
    <row r="126" spans="1:31" s="95" customFormat="1" x14ac:dyDescent="0.2">
      <c r="C126" s="199"/>
      <c r="AB126" s="1"/>
      <c r="AC126" s="1"/>
    </row>
    <row r="127" spans="1:31" s="95" customFormat="1" x14ac:dyDescent="0.2">
      <c r="C127" s="199"/>
      <c r="AB127" s="1"/>
      <c r="AC127" s="1"/>
    </row>
    <row r="128" spans="1:31" s="95" customFormat="1" x14ac:dyDescent="0.2">
      <c r="C128" s="199"/>
      <c r="AB128" s="1"/>
      <c r="AC128" s="1"/>
    </row>
    <row r="129" spans="3:29" s="95" customFormat="1" x14ac:dyDescent="0.2">
      <c r="C129" s="199"/>
      <c r="AB129" s="1"/>
      <c r="AC129" s="1"/>
    </row>
    <row r="130" spans="3:29" s="95" customFormat="1" x14ac:dyDescent="0.2">
      <c r="C130" s="199"/>
      <c r="AB130" s="1"/>
      <c r="AC130" s="1"/>
    </row>
    <row r="131" spans="3:29" s="95" customFormat="1" x14ac:dyDescent="0.2">
      <c r="C131" s="199"/>
      <c r="AB131" s="1"/>
      <c r="AC131" s="1"/>
    </row>
    <row r="132" spans="3:29" s="95" customFormat="1" x14ac:dyDescent="0.2">
      <c r="C132" s="199"/>
      <c r="AB132" s="1"/>
      <c r="AC132" s="1"/>
    </row>
    <row r="133" spans="3:29" s="95" customFormat="1" x14ac:dyDescent="0.2">
      <c r="C133" s="199"/>
      <c r="AB133" s="1"/>
      <c r="AC133" s="1"/>
    </row>
    <row r="134" spans="3:29" s="95" customFormat="1" x14ac:dyDescent="0.2">
      <c r="C134" s="199"/>
      <c r="AB134" s="1"/>
      <c r="AC134" s="1"/>
    </row>
    <row r="135" spans="3:29" s="95" customFormat="1" x14ac:dyDescent="0.2">
      <c r="C135" s="199"/>
      <c r="AB135" s="1"/>
      <c r="AC135" s="1"/>
    </row>
    <row r="136" spans="3:29" s="95" customFormat="1" x14ac:dyDescent="0.2">
      <c r="C136" s="199"/>
      <c r="AB136" s="1"/>
      <c r="AC136" s="1"/>
    </row>
    <row r="137" spans="3:29" s="95" customFormat="1" x14ac:dyDescent="0.2">
      <c r="C137" s="199"/>
      <c r="AB137" s="1"/>
      <c r="AC137" s="1"/>
    </row>
    <row r="138" spans="3:29" s="95" customFormat="1" x14ac:dyDescent="0.2">
      <c r="C138" s="199"/>
      <c r="AB138" s="1"/>
      <c r="AC138" s="1"/>
    </row>
    <row r="139" spans="3:29" s="95" customFormat="1" x14ac:dyDescent="0.2">
      <c r="C139" s="199"/>
      <c r="AB139" s="1"/>
      <c r="AC139" s="1"/>
    </row>
    <row r="140" spans="3:29" s="95" customFormat="1" x14ac:dyDescent="0.2">
      <c r="C140" s="199"/>
      <c r="AB140" s="1"/>
      <c r="AC140" s="1"/>
    </row>
    <row r="141" spans="3:29" s="95" customFormat="1" x14ac:dyDescent="0.2">
      <c r="C141" s="199"/>
      <c r="AB141" s="1"/>
      <c r="AC141" s="1"/>
    </row>
    <row r="142" spans="3:29" s="95" customFormat="1" x14ac:dyDescent="0.2">
      <c r="C142" s="199"/>
      <c r="AB142" s="1"/>
      <c r="AC142" s="1"/>
    </row>
    <row r="143" spans="3:29" s="95" customFormat="1" x14ac:dyDescent="0.2">
      <c r="C143" s="199"/>
      <c r="AB143" s="1"/>
      <c r="AC143" s="1"/>
    </row>
    <row r="144" spans="3:29" s="95" customFormat="1" x14ac:dyDescent="0.2">
      <c r="C144" s="199"/>
      <c r="AB144" s="1"/>
      <c r="AC144" s="1"/>
    </row>
    <row r="145" spans="3:29" s="95" customFormat="1" x14ac:dyDescent="0.2">
      <c r="C145" s="199"/>
      <c r="AB145" s="1"/>
      <c r="AC145" s="1"/>
    </row>
    <row r="146" spans="3:29" s="95" customFormat="1" x14ac:dyDescent="0.2">
      <c r="C146" s="199"/>
      <c r="AB146" s="1"/>
      <c r="AC146" s="1"/>
    </row>
    <row r="147" spans="3:29" s="95" customFormat="1" x14ac:dyDescent="0.2">
      <c r="C147" s="199"/>
      <c r="AB147" s="1"/>
      <c r="AC147" s="1"/>
    </row>
    <row r="148" spans="3:29" s="95" customFormat="1" x14ac:dyDescent="0.2">
      <c r="C148" s="199"/>
      <c r="AB148" s="1"/>
      <c r="AC148" s="1"/>
    </row>
    <row r="149" spans="3:29" s="95" customFormat="1" x14ac:dyDescent="0.2">
      <c r="C149" s="199"/>
      <c r="AB149" s="1"/>
      <c r="AC149" s="1"/>
    </row>
    <row r="150" spans="3:29" s="95" customFormat="1" x14ac:dyDescent="0.2">
      <c r="C150" s="199"/>
      <c r="AB150" s="1"/>
      <c r="AC150" s="1"/>
    </row>
    <row r="151" spans="3:29" s="95" customFormat="1" x14ac:dyDescent="0.2">
      <c r="C151" s="199"/>
      <c r="AB151" s="1"/>
      <c r="AC151" s="1"/>
    </row>
    <row r="152" spans="3:29" s="95" customFormat="1" x14ac:dyDescent="0.2">
      <c r="C152" s="199"/>
      <c r="AB152" s="1"/>
      <c r="AC152" s="1"/>
    </row>
    <row r="153" spans="3:29" s="95" customFormat="1" x14ac:dyDescent="0.2">
      <c r="C153" s="199"/>
      <c r="AB153" s="1"/>
      <c r="AC153" s="1"/>
    </row>
    <row r="154" spans="3:29" s="95" customFormat="1" x14ac:dyDescent="0.2">
      <c r="C154" s="199"/>
      <c r="AB154" s="1"/>
      <c r="AC154" s="1"/>
    </row>
    <row r="155" spans="3:29" s="95" customFormat="1" x14ac:dyDescent="0.2">
      <c r="C155" s="199"/>
      <c r="AB155" s="1"/>
      <c r="AC155" s="1"/>
    </row>
    <row r="156" spans="3:29" s="95" customFormat="1" x14ac:dyDescent="0.2">
      <c r="C156" s="199"/>
      <c r="AB156" s="1"/>
      <c r="AC156" s="1"/>
    </row>
    <row r="157" spans="3:29" s="95" customFormat="1" x14ac:dyDescent="0.2">
      <c r="C157" s="199"/>
      <c r="AB157" s="1"/>
      <c r="AC157" s="1"/>
    </row>
    <row r="158" spans="3:29" s="95" customFormat="1" x14ac:dyDescent="0.2">
      <c r="C158" s="199"/>
      <c r="AB158" s="1"/>
      <c r="AC158" s="1"/>
    </row>
    <row r="159" spans="3:29" s="95" customFormat="1" x14ac:dyDescent="0.2">
      <c r="C159" s="199"/>
      <c r="AB159" s="1"/>
      <c r="AC159" s="1"/>
    </row>
    <row r="160" spans="3:29" s="95" customFormat="1" x14ac:dyDescent="0.2">
      <c r="C160" s="199"/>
      <c r="AB160" s="1"/>
      <c r="AC160" s="1"/>
    </row>
    <row r="161" spans="3:29" s="95" customFormat="1" x14ac:dyDescent="0.2">
      <c r="C161" s="199"/>
      <c r="AB161" s="1"/>
      <c r="AC161" s="1"/>
    </row>
    <row r="162" spans="3:29" s="95" customFormat="1" x14ac:dyDescent="0.2">
      <c r="C162" s="199"/>
      <c r="AB162" s="1"/>
      <c r="AC162" s="1"/>
    </row>
    <row r="163" spans="3:29" s="95" customFormat="1" x14ac:dyDescent="0.2">
      <c r="C163" s="199"/>
      <c r="AB163" s="1"/>
      <c r="AC163" s="1"/>
    </row>
    <row r="164" spans="3:29" s="95" customFormat="1" x14ac:dyDescent="0.2">
      <c r="C164" s="199"/>
      <c r="AB164" s="1"/>
      <c r="AC164" s="1"/>
    </row>
    <row r="165" spans="3:29" s="95" customFormat="1" x14ac:dyDescent="0.2">
      <c r="C165" s="199"/>
      <c r="AB165" s="1"/>
      <c r="AC165" s="1"/>
    </row>
    <row r="166" spans="3:29" s="95" customFormat="1" x14ac:dyDescent="0.2">
      <c r="C166" s="199"/>
      <c r="AB166" s="1"/>
      <c r="AC166" s="1"/>
    </row>
    <row r="167" spans="3:29" s="95" customFormat="1" x14ac:dyDescent="0.2">
      <c r="C167" s="199"/>
      <c r="AB167" s="1"/>
      <c r="AC167" s="1"/>
    </row>
    <row r="168" spans="3:29" s="95" customFormat="1" x14ac:dyDescent="0.2">
      <c r="C168" s="199"/>
      <c r="AB168" s="1"/>
      <c r="AC168" s="1"/>
    </row>
  </sheetData>
  <mergeCells count="130">
    <mergeCell ref="U65:V65"/>
    <mergeCell ref="U95:V95"/>
    <mergeCell ref="G29:H29"/>
    <mergeCell ref="C29:D29"/>
    <mergeCell ref="O33:P33"/>
    <mergeCell ref="G95:H95"/>
    <mergeCell ref="I95:J95"/>
    <mergeCell ref="K95:L95"/>
    <mergeCell ref="M95:N95"/>
    <mergeCell ref="M65:N65"/>
    <mergeCell ref="K65:L65"/>
    <mergeCell ref="C33:D33"/>
    <mergeCell ref="C65:D65"/>
    <mergeCell ref="G33:H33"/>
    <mergeCell ref="G65:H65"/>
    <mergeCell ref="I65:J65"/>
    <mergeCell ref="E65:F65"/>
    <mergeCell ref="E33:F33"/>
    <mergeCell ref="K100:L100"/>
    <mergeCell ref="M100:N100"/>
    <mergeCell ref="AB5:AC5"/>
    <mergeCell ref="AB18:AC18"/>
    <mergeCell ref="AB26:AC26"/>
    <mergeCell ref="AB33:AC33"/>
    <mergeCell ref="AB65:AC65"/>
    <mergeCell ref="O5:P5"/>
    <mergeCell ref="O18:P18"/>
    <mergeCell ref="O26:P26"/>
    <mergeCell ref="AB100:AC100"/>
    <mergeCell ref="AB95:AC95"/>
    <mergeCell ref="O65:P65"/>
    <mergeCell ref="O95:P95"/>
    <mergeCell ref="O100:P100"/>
    <mergeCell ref="Q100:R100"/>
    <mergeCell ref="Q65:R65"/>
    <mergeCell ref="Q95:R95"/>
    <mergeCell ref="S100:T100"/>
    <mergeCell ref="S65:T65"/>
    <mergeCell ref="Q5:R5"/>
    <mergeCell ref="Q18:R18"/>
    <mergeCell ref="Q26:R26"/>
    <mergeCell ref="Q33:R33"/>
    <mergeCell ref="C117:D117"/>
    <mergeCell ref="I117:J117"/>
    <mergeCell ref="C114:D114"/>
    <mergeCell ref="I114:J114"/>
    <mergeCell ref="C115:D115"/>
    <mergeCell ref="I115:J115"/>
    <mergeCell ref="C116:D116"/>
    <mergeCell ref="I116:J116"/>
    <mergeCell ref="C110:D110"/>
    <mergeCell ref="I110:J110"/>
    <mergeCell ref="C111:D111"/>
    <mergeCell ref="I111:J111"/>
    <mergeCell ref="C112:D112"/>
    <mergeCell ref="I112:J112"/>
    <mergeCell ref="C113:D113"/>
    <mergeCell ref="I113:J113"/>
    <mergeCell ref="C28:D28"/>
    <mergeCell ref="C108:D108"/>
    <mergeCell ref="I108:J108"/>
    <mergeCell ref="C109:D109"/>
    <mergeCell ref="I109:J109"/>
    <mergeCell ref="E28:F28"/>
    <mergeCell ref="G28:H28"/>
    <mergeCell ref="I28:J28"/>
    <mergeCell ref="C27:D27"/>
    <mergeCell ref="E27:F27"/>
    <mergeCell ref="G27:H27"/>
    <mergeCell ref="I27:J27"/>
    <mergeCell ref="C106:D106"/>
    <mergeCell ref="I106:J106"/>
    <mergeCell ref="G100:H100"/>
    <mergeCell ref="I100:J100"/>
    <mergeCell ref="C100:D100"/>
    <mergeCell ref="I29:J29"/>
    <mergeCell ref="E100:F100"/>
    <mergeCell ref="C107:D107"/>
    <mergeCell ref="I107:J107"/>
    <mergeCell ref="C95:D95"/>
    <mergeCell ref="E95:F95"/>
    <mergeCell ref="C105:D105"/>
    <mergeCell ref="I105:J105"/>
    <mergeCell ref="C104:D104"/>
    <mergeCell ref="I104:J104"/>
    <mergeCell ref="C102:D102"/>
    <mergeCell ref="I102:J102"/>
    <mergeCell ref="M26:N26"/>
    <mergeCell ref="K5:L5"/>
    <mergeCell ref="K18:L18"/>
    <mergeCell ref="K33:L33"/>
    <mergeCell ref="K26:L26"/>
    <mergeCell ref="M5:N5"/>
    <mergeCell ref="M18:N18"/>
    <mergeCell ref="M33:N33"/>
    <mergeCell ref="I5:J5"/>
    <mergeCell ref="I18:J18"/>
    <mergeCell ref="I33:J33"/>
    <mergeCell ref="C18:D18"/>
    <mergeCell ref="G18:H18"/>
    <mergeCell ref="E18:F18"/>
    <mergeCell ref="I26:J26"/>
    <mergeCell ref="C26:D26"/>
    <mergeCell ref="E26:F26"/>
    <mergeCell ref="G26:H26"/>
    <mergeCell ref="E29:F29"/>
    <mergeCell ref="Y5:Z5"/>
    <mergeCell ref="Y18:Z18"/>
    <mergeCell ref="Y26:Z26"/>
    <mergeCell ref="Y33:Z33"/>
    <mergeCell ref="Y65:Z65"/>
    <mergeCell ref="Y95:Z95"/>
    <mergeCell ref="Y100:Z100"/>
    <mergeCell ref="S95:T95"/>
    <mergeCell ref="S5:T5"/>
    <mergeCell ref="S18:T18"/>
    <mergeCell ref="S26:T26"/>
    <mergeCell ref="S33:T33"/>
    <mergeCell ref="W100:X100"/>
    <mergeCell ref="W5:X5"/>
    <mergeCell ref="W18:X18"/>
    <mergeCell ref="W26:X26"/>
    <mergeCell ref="W33:X33"/>
    <mergeCell ref="W65:X65"/>
    <mergeCell ref="W95:X95"/>
    <mergeCell ref="U100:V100"/>
    <mergeCell ref="U5:V5"/>
    <mergeCell ref="U18:V18"/>
    <mergeCell ref="U26:V26"/>
    <mergeCell ref="U33:V33"/>
  </mergeCells>
  <phoneticPr fontId="0" type="noConversion"/>
  <printOptions horizontalCentered="1"/>
  <pageMargins left="0.5" right="0.5" top="0.25" bottom="0.5" header="0.25" footer="0.5"/>
  <pageSetup scale="66" orientation="landscape" r:id="rId1"/>
  <headerFooter alignWithMargins="0">
    <oddFooter>&amp;R&amp;P of &amp;N
&amp;D</oddFooter>
  </headerFooter>
  <rowBreaks count="1" manualBreakCount="1">
    <brk id="61" max="16383" man="1"/>
  </rowBreaks>
  <ignoredErrors>
    <ignoredError sqref="E82:P99 E100:N100 P100 E75:P80 Q75:Q94 S75:S94 U75:V94 T52:U52 W75:W94 Y75:Y94" formula="1"/>
    <ignoredError sqref="T75:T94"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Dean_HE</vt:lpstr>
      <vt:lpstr>ATID</vt:lpstr>
      <vt:lpstr>HMD</vt:lpstr>
      <vt:lpstr>Human Nutrition</vt:lpstr>
      <vt:lpstr>FSHS</vt:lpstr>
      <vt:lpstr>Kinesiology</vt:lpstr>
      <vt:lpstr>HE Summary</vt:lpstr>
      <vt:lpstr>ATID!Print_Area</vt:lpstr>
      <vt:lpstr>Dean_HE!Print_Area</vt:lpstr>
      <vt:lpstr>FSHS!Print_Area</vt:lpstr>
      <vt:lpstr>'HE Summary'!Print_Area</vt:lpstr>
      <vt:lpstr>HMD!Print_Area</vt:lpstr>
      <vt:lpstr>'Human Nutrition'!Print_Area</vt:lpstr>
      <vt:lpstr>Kinesiology!Print_Area</vt:lpstr>
      <vt:lpstr>ATID!Print_Titles</vt:lpstr>
      <vt:lpstr>Dean_HE!Print_Titles</vt:lpstr>
      <vt:lpstr>FSHS!Print_Titles</vt:lpstr>
      <vt:lpstr>'HE Summary'!Print_Titles</vt:lpstr>
      <vt:lpstr>HMD!Print_Titles</vt:lpstr>
      <vt:lpstr>'Human Nutrition'!Print_Titles</vt:lpstr>
      <vt:lpstr>Kinesiology!Print_Titles</vt:lpstr>
    </vt:vector>
  </TitlesOfParts>
  <Company>Computing &amp; Network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Cox</dc:creator>
  <cp:lastModifiedBy>NancyBaker</cp:lastModifiedBy>
  <cp:lastPrinted>2014-12-18T14:34:29Z</cp:lastPrinted>
  <dcterms:created xsi:type="dcterms:W3CDTF">1998-07-17T17:33:40Z</dcterms:created>
  <dcterms:modified xsi:type="dcterms:W3CDTF">2014-12-18T20:26:37Z</dcterms:modified>
</cp:coreProperties>
</file>