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724" firstSheet="9" activeTab="9"/>
  </bookViews>
  <sheets>
    <sheet name="Dean_Eng" sheetId="3" state="hidden" r:id="rId1"/>
    <sheet name="ArchitectConst" sheetId="2" state="hidden" r:id="rId2"/>
    <sheet name="BAE" sheetId="1" state="hidden" r:id="rId3"/>
    <sheet name="Chemical" sheetId="4" state="hidden" r:id="rId4"/>
    <sheet name="Civil" sheetId="5" state="hidden" r:id="rId5"/>
    <sheet name="Comp_Sci" sheetId="6" state="hidden" r:id="rId6"/>
    <sheet name="Elec" sheetId="7" state="hidden" r:id="rId7"/>
    <sheet name="Industrial" sheetId="8" state="hidden" r:id="rId8"/>
    <sheet name="Mech" sheetId="9" state="hidden" r:id="rId9"/>
    <sheet name="Summary" sheetId="11" r:id="rId10"/>
  </sheets>
  <definedNames>
    <definedName name="_xlnm.Print_Area" localSheetId="1">ArchitectConst!$A$9:$AG$31</definedName>
    <definedName name="_xlnm.Print_Area" localSheetId="2">BAE!$A$9:$AG$31</definedName>
    <definedName name="_xlnm.Print_Area" localSheetId="3">Chemical!$A$9:$AG$31</definedName>
    <definedName name="_xlnm.Print_Area" localSheetId="4">Civil!$A$9:$AG$31</definedName>
    <definedName name="_xlnm.Print_Area" localSheetId="5">Comp_Sci!$A$8:$AG$32</definedName>
    <definedName name="_xlnm.Print_Area" localSheetId="0">Dean_Eng!$A$9:$AG$32</definedName>
    <definedName name="_xlnm.Print_Area" localSheetId="6">Elec!$A$9:$AG$31</definedName>
    <definedName name="_xlnm.Print_Area" localSheetId="7">Industrial!$A$9:$AG$31</definedName>
    <definedName name="_xlnm.Print_Area" localSheetId="8">Mech!$A$9:$AG$31</definedName>
    <definedName name="_xlnm.Print_Area" localSheetId="9">Summary!$A$1:$AG$32</definedName>
    <definedName name="_xlnm.Print_Titles" localSheetId="1">ArchitectConst!$A:$A,ArchitectConst!$1:$7</definedName>
    <definedName name="_xlnm.Print_Titles" localSheetId="2">BAE!$A:$A,BAE!$1:$7</definedName>
    <definedName name="_xlnm.Print_Titles" localSheetId="3">Chemical!$A:$A,Chemical!$1:$7</definedName>
    <definedName name="_xlnm.Print_Titles" localSheetId="4">Civil!$A:$A,Civil!$1:$7</definedName>
    <definedName name="_xlnm.Print_Titles" localSheetId="5">Comp_Sci!$A:$A,Comp_Sci!$1:$7</definedName>
    <definedName name="_xlnm.Print_Titles" localSheetId="0">Dean_Eng!$A:$A,Dean_Eng!$1:$7</definedName>
    <definedName name="_xlnm.Print_Titles" localSheetId="6">Elec!$A:$A,Elec!$1:$7</definedName>
    <definedName name="_xlnm.Print_Titles" localSheetId="7">Industrial!$A:$A,Industrial!$1:$7</definedName>
    <definedName name="_xlnm.Print_Titles" localSheetId="8">Mech!$A:$A,Mech!$1:$7</definedName>
    <definedName name="_xlnm.Print_Titles" localSheetId="9">Summary!$A:$A,Summary!$1:$7</definedName>
  </definedNames>
  <calcPr calcId="152511"/>
</workbook>
</file>

<file path=xl/calcChain.xml><?xml version="1.0" encoding="utf-8"?>
<calcChain xmlns="http://schemas.openxmlformats.org/spreadsheetml/2006/main">
  <c r="AA24" i="8" l="1"/>
  <c r="AF23" i="8" l="1"/>
  <c r="AG31" i="9" l="1"/>
  <c r="AF31" i="9"/>
  <c r="AG30" i="9"/>
  <c r="AF30" i="9"/>
  <c r="AG28" i="9"/>
  <c r="AF28" i="9"/>
  <c r="AE28" i="9"/>
  <c r="AG27" i="9"/>
  <c r="AF27" i="9"/>
  <c r="AE27" i="9"/>
  <c r="AG25" i="9"/>
  <c r="AF25" i="9"/>
  <c r="AG24" i="9"/>
  <c r="AF24" i="9"/>
  <c r="AG23" i="9"/>
  <c r="AF23" i="9"/>
  <c r="AG14" i="9"/>
  <c r="AF14" i="9"/>
  <c r="AG12" i="9"/>
  <c r="AF12" i="9"/>
  <c r="AF31" i="8"/>
  <c r="AG30" i="8"/>
  <c r="AF30" i="8"/>
  <c r="AG28" i="8"/>
  <c r="AF28" i="8"/>
  <c r="AE28" i="8"/>
  <c r="AG27" i="8"/>
  <c r="AF27" i="8"/>
  <c r="AE27" i="8"/>
  <c r="AG25" i="8"/>
  <c r="AF25" i="8"/>
  <c r="AG23" i="8"/>
  <c r="AG14" i="8"/>
  <c r="AF14" i="8"/>
  <c r="AG13" i="8"/>
  <c r="AF13" i="8"/>
  <c r="AG12" i="8"/>
  <c r="AF12" i="8"/>
  <c r="AG31" i="7"/>
  <c r="AF31" i="7"/>
  <c r="AG30" i="7"/>
  <c r="AF30" i="7"/>
  <c r="AG28" i="7"/>
  <c r="AF28" i="7"/>
  <c r="AE28" i="7"/>
  <c r="AG27" i="7"/>
  <c r="AF27" i="7"/>
  <c r="AE27" i="7"/>
  <c r="AF25" i="7"/>
  <c r="AG24" i="7"/>
  <c r="AF24" i="7"/>
  <c r="AG23" i="7"/>
  <c r="AF23" i="7"/>
  <c r="AG14" i="7"/>
  <c r="AF14" i="7"/>
  <c r="AG12" i="7"/>
  <c r="AF12" i="7"/>
  <c r="AF31" i="6"/>
  <c r="AG30" i="6"/>
  <c r="AF30" i="6"/>
  <c r="AG28" i="6"/>
  <c r="AF28" i="6"/>
  <c r="AE28" i="6"/>
  <c r="AG27" i="6"/>
  <c r="AF27" i="6"/>
  <c r="AE27" i="6"/>
  <c r="AG25" i="6"/>
  <c r="AF25" i="6"/>
  <c r="AG24" i="6"/>
  <c r="AF24" i="6"/>
  <c r="AG23" i="6"/>
  <c r="AF23" i="6"/>
  <c r="AG14" i="6"/>
  <c r="AF14" i="6"/>
  <c r="AG13" i="6"/>
  <c r="AF13" i="6"/>
  <c r="AG12" i="6"/>
  <c r="AF12" i="6"/>
  <c r="AG31" i="5"/>
  <c r="AF31" i="5"/>
  <c r="AG30" i="5"/>
  <c r="AF30" i="5"/>
  <c r="AG28" i="5"/>
  <c r="AF28" i="5"/>
  <c r="AE28" i="5"/>
  <c r="AG27" i="5"/>
  <c r="AF27" i="5"/>
  <c r="AE27" i="5"/>
  <c r="AG25" i="5"/>
  <c r="AF25" i="5"/>
  <c r="AG24" i="5"/>
  <c r="AF24" i="5"/>
  <c r="AG23" i="5"/>
  <c r="AF23" i="5"/>
  <c r="AF17" i="5"/>
  <c r="AG14" i="5"/>
  <c r="AF14" i="5"/>
  <c r="AF13" i="5"/>
  <c r="AG12" i="5"/>
  <c r="AF12" i="5"/>
  <c r="AG31" i="4"/>
  <c r="AF31" i="4"/>
  <c r="AG30" i="4"/>
  <c r="AF30" i="4"/>
  <c r="AG28" i="4"/>
  <c r="AF28" i="4"/>
  <c r="AE28" i="4"/>
  <c r="AG27" i="4"/>
  <c r="AF27" i="4"/>
  <c r="AE27" i="4"/>
  <c r="AF25" i="4"/>
  <c r="AG24" i="4"/>
  <c r="AF24" i="4"/>
  <c r="AG23" i="4"/>
  <c r="AF23" i="4"/>
  <c r="AG17" i="4"/>
  <c r="AF17" i="4"/>
  <c r="AG14" i="4"/>
  <c r="AF14" i="4"/>
  <c r="AG13" i="4"/>
  <c r="AF13" i="4"/>
  <c r="AG12" i="4"/>
  <c r="AF12" i="4"/>
  <c r="AF31" i="1"/>
  <c r="AG30" i="1"/>
  <c r="AF30" i="1"/>
  <c r="AG28" i="1"/>
  <c r="AF28" i="1"/>
  <c r="AE28" i="1"/>
  <c r="AG27" i="1"/>
  <c r="AF27" i="1"/>
  <c r="AE27" i="1"/>
  <c r="AG25" i="1"/>
  <c r="AF25" i="1"/>
  <c r="AG24" i="1"/>
  <c r="AF24" i="1"/>
  <c r="AG23" i="1"/>
  <c r="AF23" i="1"/>
  <c r="AG19" i="1"/>
  <c r="AF19" i="1"/>
  <c r="AG18" i="1"/>
  <c r="AF18" i="1"/>
  <c r="AG17" i="1"/>
  <c r="AF17" i="1"/>
  <c r="AG14" i="1"/>
  <c r="AF14" i="1"/>
  <c r="AG12" i="1"/>
  <c r="AF12" i="1"/>
  <c r="AG31" i="2"/>
  <c r="AF31" i="2"/>
  <c r="AG30" i="2"/>
  <c r="AF30" i="2"/>
  <c r="AG28" i="2"/>
  <c r="AF28" i="2"/>
  <c r="AE28" i="2"/>
  <c r="AG27" i="2"/>
  <c r="AF27" i="2"/>
  <c r="AE27" i="2"/>
  <c r="AG25" i="2"/>
  <c r="AF25" i="2"/>
  <c r="AG24" i="2"/>
  <c r="AF24" i="2"/>
  <c r="AG23" i="2"/>
  <c r="AF23" i="2"/>
  <c r="AG14" i="2"/>
  <c r="AF14" i="2"/>
  <c r="AG12" i="2"/>
  <c r="AF12" i="2"/>
  <c r="AE28" i="3"/>
  <c r="AE27" i="3"/>
  <c r="AG31" i="3"/>
  <c r="AF31" i="3"/>
  <c r="AG28" i="3"/>
  <c r="AF28" i="3"/>
  <c r="AG27" i="3"/>
  <c r="AF27" i="3"/>
  <c r="AF25" i="3"/>
  <c r="AG24" i="3"/>
  <c r="AF24" i="3"/>
  <c r="AG23" i="3"/>
  <c r="AF23" i="3"/>
  <c r="AG19" i="3"/>
  <c r="AF19" i="3"/>
  <c r="AG14" i="3"/>
  <c r="AC14" i="3"/>
  <c r="AF14" i="3" s="1"/>
  <c r="AC12" i="3"/>
  <c r="AF12" i="3" s="1"/>
  <c r="AG12" i="3" l="1"/>
  <c r="AC19" i="11"/>
  <c r="AC18" i="11"/>
  <c r="AC17" i="11"/>
  <c r="AC14" i="11"/>
  <c r="AC13" i="11"/>
  <c r="AC12" i="11"/>
  <c r="AC20" i="9"/>
  <c r="AC15" i="9"/>
  <c r="AC20" i="8"/>
  <c r="AC15" i="8"/>
  <c r="AC20" i="7"/>
  <c r="AC15" i="7"/>
  <c r="AC20" i="6"/>
  <c r="AC15" i="6"/>
  <c r="AC20" i="5"/>
  <c r="AC15" i="5"/>
  <c r="AC21" i="5" s="1"/>
  <c r="AC20" i="4"/>
  <c r="AC15" i="4"/>
  <c r="AC20" i="1"/>
  <c r="AC15" i="1"/>
  <c r="AC20" i="2"/>
  <c r="AC15" i="2"/>
  <c r="AC20" i="3"/>
  <c r="AC15" i="3"/>
  <c r="AC21" i="3" l="1"/>
  <c r="AC21" i="2"/>
  <c r="AC21" i="4"/>
  <c r="AC21" i="6"/>
  <c r="AC21" i="7"/>
  <c r="AC21" i="9"/>
  <c r="AC21" i="8"/>
  <c r="AC21" i="1"/>
  <c r="AC20" i="11"/>
  <c r="AC15" i="11"/>
  <c r="AA31" i="11"/>
  <c r="AA30" i="11"/>
  <c r="Y31" i="11"/>
  <c r="W31" i="11"/>
  <c r="U31" i="11"/>
  <c r="S31" i="11"/>
  <c r="Q31" i="11"/>
  <c r="O31" i="11"/>
  <c r="M31" i="11"/>
  <c r="AA28" i="11"/>
  <c r="Z28" i="11"/>
  <c r="AA27" i="11"/>
  <c r="Z27" i="11"/>
  <c r="Y28" i="11"/>
  <c r="X28" i="11"/>
  <c r="Y27" i="11"/>
  <c r="X27" i="11"/>
  <c r="W28" i="11"/>
  <c r="V28" i="11"/>
  <c r="W27" i="11"/>
  <c r="V27" i="11"/>
  <c r="U28" i="11"/>
  <c r="T28" i="11"/>
  <c r="U27" i="11"/>
  <c r="T27" i="11"/>
  <c r="S28" i="11"/>
  <c r="R28" i="11"/>
  <c r="S27" i="11"/>
  <c r="R27" i="11"/>
  <c r="O28" i="11"/>
  <c r="N28" i="11"/>
  <c r="O27" i="11"/>
  <c r="N27" i="11"/>
  <c r="M27" i="11"/>
  <c r="M28" i="11"/>
  <c r="L28" i="11"/>
  <c r="L27" i="11"/>
  <c r="AA25" i="11"/>
  <c r="Y25" i="11"/>
  <c r="W25" i="11"/>
  <c r="U25" i="11"/>
  <c r="S25" i="11"/>
  <c r="Q25" i="11"/>
  <c r="O25" i="11"/>
  <c r="M25" i="11"/>
  <c r="AA24" i="11"/>
  <c r="AA23" i="11"/>
  <c r="Y23" i="11"/>
  <c r="W24" i="11"/>
  <c r="W23" i="11"/>
  <c r="U23" i="11"/>
  <c r="S23" i="11"/>
  <c r="Q23" i="11"/>
  <c r="O23" i="11"/>
  <c r="M23" i="11"/>
  <c r="AA19" i="11"/>
  <c r="AA18" i="11"/>
  <c r="AA17" i="11"/>
  <c r="Y19" i="11"/>
  <c r="Y18" i="11"/>
  <c r="Y17" i="11"/>
  <c r="W19" i="11"/>
  <c r="W18" i="11"/>
  <c r="W17" i="11"/>
  <c r="U19" i="11"/>
  <c r="AG19" i="11" s="1"/>
  <c r="U18" i="11"/>
  <c r="AG18" i="11" s="1"/>
  <c r="U17" i="11"/>
  <c r="AG17" i="11" s="1"/>
  <c r="S19" i="11"/>
  <c r="S18" i="11"/>
  <c r="S17" i="11"/>
  <c r="Q19" i="11"/>
  <c r="Q18" i="11"/>
  <c r="Q17" i="11"/>
  <c r="O19" i="11"/>
  <c r="O18" i="11"/>
  <c r="O17" i="11"/>
  <c r="M18" i="11"/>
  <c r="M19" i="11"/>
  <c r="M17" i="11"/>
  <c r="AA14" i="11"/>
  <c r="AA13" i="11"/>
  <c r="AA12" i="11"/>
  <c r="Y14" i="11"/>
  <c r="Y13" i="11"/>
  <c r="Y12" i="11"/>
  <c r="W14" i="11"/>
  <c r="W13" i="11"/>
  <c r="W12" i="11"/>
  <c r="U14" i="11"/>
  <c r="AG14" i="11" s="1"/>
  <c r="U13" i="11"/>
  <c r="AG13" i="11" s="1"/>
  <c r="U12" i="11"/>
  <c r="AG12" i="11" s="1"/>
  <c r="S14" i="11"/>
  <c r="S13" i="11"/>
  <c r="S12" i="11"/>
  <c r="Q14" i="11"/>
  <c r="Q13" i="11"/>
  <c r="Q12" i="11"/>
  <c r="O13" i="11"/>
  <c r="M13" i="11"/>
  <c r="K20" i="11"/>
  <c r="K15" i="11"/>
  <c r="AE27" i="11" l="1"/>
  <c r="AF17" i="11"/>
  <c r="AF18" i="11"/>
  <c r="K21" i="11"/>
  <c r="AF14" i="11"/>
  <c r="AF12" i="11"/>
  <c r="AE28" i="11"/>
  <c r="AF19" i="11"/>
  <c r="AF13" i="11"/>
  <c r="AG23" i="11"/>
  <c r="AF23" i="11"/>
  <c r="AG27" i="11"/>
  <c r="AF27" i="11"/>
  <c r="AG28" i="11"/>
  <c r="AF28" i="11"/>
  <c r="AF31" i="11"/>
  <c r="AG31" i="11"/>
  <c r="AG25" i="11"/>
  <c r="AF25" i="11"/>
  <c r="AC21" i="11"/>
  <c r="AA15" i="11"/>
  <c r="M20" i="11"/>
  <c r="Q15" i="11"/>
  <c r="S15" i="11"/>
  <c r="U15" i="11"/>
  <c r="AG15" i="11" s="1"/>
  <c r="W15" i="11"/>
  <c r="Y15" i="11"/>
  <c r="O20" i="11"/>
  <c r="Q20" i="11"/>
  <c r="S20" i="11"/>
  <c r="U20" i="11"/>
  <c r="AG20" i="11" s="1"/>
  <c r="W20" i="11"/>
  <c r="Y20" i="11"/>
  <c r="AA20" i="11"/>
  <c r="AF20" i="11" l="1"/>
  <c r="AF15" i="11"/>
  <c r="AA21" i="11"/>
  <c r="W21" i="11"/>
  <c r="S21" i="11"/>
  <c r="Y21" i="11"/>
  <c r="Q21" i="11"/>
  <c r="U21" i="11"/>
  <c r="AG21" i="11" s="1"/>
  <c r="Y30" i="3"/>
  <c r="Y30" i="11" s="1"/>
  <c r="AF21" i="11" l="1"/>
  <c r="Y24" i="8" l="1"/>
  <c r="Y24" i="11" s="1"/>
  <c r="U24" i="8" l="1"/>
  <c r="S24" i="8"/>
  <c r="Q24" i="8"/>
  <c r="Q24" i="11" s="1"/>
  <c r="O24" i="8"/>
  <c r="O24" i="11" s="1"/>
  <c r="M24" i="8"/>
  <c r="M24" i="11" s="1"/>
  <c r="K24" i="8"/>
  <c r="I24" i="8"/>
  <c r="G24" i="8"/>
  <c r="AG24" i="8" l="1"/>
  <c r="S24" i="11"/>
  <c r="AG24" i="11" s="1"/>
  <c r="AF24" i="8"/>
  <c r="U24" i="11"/>
  <c r="AF24" i="11" s="1"/>
  <c r="AA15" i="9" l="1"/>
  <c r="AA20" i="9"/>
  <c r="AA15" i="8"/>
  <c r="AA20" i="8"/>
  <c r="AA15" i="7"/>
  <c r="AA20" i="7"/>
  <c r="AA15" i="6"/>
  <c r="AA20" i="6"/>
  <c r="AA15" i="5"/>
  <c r="AA20" i="5"/>
  <c r="AA15" i="4"/>
  <c r="AA20" i="4"/>
  <c r="AA15" i="2"/>
  <c r="AA20" i="2"/>
  <c r="AA15" i="1"/>
  <c r="AA20" i="1"/>
  <c r="AA15" i="3"/>
  <c r="AA20" i="3"/>
  <c r="AA21" i="2" l="1"/>
  <c r="AA21" i="3"/>
  <c r="AA21" i="5"/>
  <c r="AA21" i="8"/>
  <c r="AA21" i="7"/>
  <c r="AA21" i="9"/>
  <c r="AA21" i="6"/>
  <c r="AA21" i="4"/>
  <c r="AA21" i="1"/>
  <c r="W30" i="3" l="1"/>
  <c r="W30" i="11" s="1"/>
  <c r="Y15" i="3" l="1"/>
  <c r="Y20" i="3"/>
  <c r="Y15" i="1"/>
  <c r="Y20" i="1"/>
  <c r="Y15" i="2"/>
  <c r="Y20" i="2"/>
  <c r="Y15" i="4"/>
  <c r="Y20" i="4"/>
  <c r="Y15" i="5"/>
  <c r="Y20" i="5"/>
  <c r="Y15" i="6"/>
  <c r="Y20" i="6"/>
  <c r="Y15" i="7"/>
  <c r="Y20" i="7"/>
  <c r="Y15" i="8"/>
  <c r="Y20" i="8"/>
  <c r="Y15" i="9"/>
  <c r="Y20" i="9"/>
  <c r="Y21" i="9" l="1"/>
  <c r="Y21" i="2"/>
  <c r="Y21" i="8"/>
  <c r="Y21" i="6"/>
  <c r="Y21" i="4"/>
  <c r="Y21" i="1"/>
  <c r="Y21" i="7"/>
  <c r="Y21" i="5"/>
  <c r="Y21" i="3"/>
  <c r="U30" i="3" l="1"/>
  <c r="U30" i="11" l="1"/>
  <c r="W15" i="9"/>
  <c r="W20" i="9"/>
  <c r="W15" i="8"/>
  <c r="AF15" i="8" s="1"/>
  <c r="W20" i="8"/>
  <c r="AF20" i="8" s="1"/>
  <c r="W15" i="7"/>
  <c r="W20" i="7"/>
  <c r="AF20" i="7" s="1"/>
  <c r="W15" i="6"/>
  <c r="W20" i="6"/>
  <c r="AF20" i="6" s="1"/>
  <c r="W15" i="5"/>
  <c r="W20" i="5"/>
  <c r="AF20" i="5" s="1"/>
  <c r="W15" i="4"/>
  <c r="AF15" i="4" s="1"/>
  <c r="W20" i="4"/>
  <c r="AF20" i="4" s="1"/>
  <c r="W15" i="2"/>
  <c r="W20" i="2"/>
  <c r="AF20" i="2" s="1"/>
  <c r="W15" i="1"/>
  <c r="AF15" i="1" s="1"/>
  <c r="W20" i="1"/>
  <c r="AF20" i="1" s="1"/>
  <c r="W15" i="3"/>
  <c r="W20" i="3"/>
  <c r="AF20" i="3" s="1"/>
  <c r="S30" i="3"/>
  <c r="U15" i="1"/>
  <c r="AG15" i="1" s="1"/>
  <c r="U20" i="1"/>
  <c r="AG20" i="1" s="1"/>
  <c r="U15" i="3"/>
  <c r="AG15" i="3" s="1"/>
  <c r="U20" i="3"/>
  <c r="AG20" i="3" s="1"/>
  <c r="U15" i="2"/>
  <c r="AG15" i="2" s="1"/>
  <c r="U20" i="2"/>
  <c r="U15" i="4"/>
  <c r="AG15" i="4" s="1"/>
  <c r="U20" i="4"/>
  <c r="AG20" i="4" s="1"/>
  <c r="U15" i="5"/>
  <c r="U20" i="5"/>
  <c r="U15" i="6"/>
  <c r="AG15" i="6" s="1"/>
  <c r="U20" i="6"/>
  <c r="U15" i="7"/>
  <c r="AG15" i="7" s="1"/>
  <c r="U20" i="7"/>
  <c r="U15" i="8"/>
  <c r="AG15" i="8" s="1"/>
  <c r="U20" i="8"/>
  <c r="U15" i="9"/>
  <c r="AG15" i="9" s="1"/>
  <c r="U20" i="9"/>
  <c r="Q28" i="1"/>
  <c r="Q28" i="11" s="1"/>
  <c r="P28" i="1"/>
  <c r="P28" i="11" s="1"/>
  <c r="Q27" i="1"/>
  <c r="Q27" i="11" s="1"/>
  <c r="P27" i="1"/>
  <c r="P27" i="11" s="1"/>
  <c r="S20" i="9"/>
  <c r="S15" i="9"/>
  <c r="S20" i="8"/>
  <c r="S15" i="8"/>
  <c r="S20" i="7"/>
  <c r="S15" i="7"/>
  <c r="S20" i="6"/>
  <c r="S15" i="6"/>
  <c r="S20" i="5"/>
  <c r="S15" i="5"/>
  <c r="S20" i="4"/>
  <c r="S15" i="4"/>
  <c r="S20" i="2"/>
  <c r="S15" i="2"/>
  <c r="S20" i="1"/>
  <c r="S15" i="1"/>
  <c r="S20" i="3"/>
  <c r="S15" i="3"/>
  <c r="Q30" i="3"/>
  <c r="Q30" i="11" s="1"/>
  <c r="O30" i="3"/>
  <c r="M30" i="3"/>
  <c r="O30" i="8"/>
  <c r="Q15" i="3"/>
  <c r="Q20" i="3"/>
  <c r="Q15" i="1"/>
  <c r="Q20" i="1"/>
  <c r="Q15" i="2"/>
  <c r="Q20" i="2"/>
  <c r="Q15" i="4"/>
  <c r="Q20" i="4"/>
  <c r="Q15" i="5"/>
  <c r="Q20" i="5"/>
  <c r="Q15" i="6"/>
  <c r="Q20" i="6"/>
  <c r="Q15" i="7"/>
  <c r="Q20" i="7"/>
  <c r="Q21" i="7" s="1"/>
  <c r="Q15" i="8"/>
  <c r="Q20" i="8"/>
  <c r="Q15" i="9"/>
  <c r="Q20" i="9"/>
  <c r="M30" i="8"/>
  <c r="O12" i="1"/>
  <c r="O12" i="11" s="1"/>
  <c r="O15" i="11" s="1"/>
  <c r="O21" i="11" s="1"/>
  <c r="O14" i="3"/>
  <c r="O14" i="11" s="1"/>
  <c r="O12" i="3"/>
  <c r="O15" i="9"/>
  <c r="O20" i="9"/>
  <c r="O15" i="8"/>
  <c r="O20" i="8"/>
  <c r="O15" i="7"/>
  <c r="O20" i="7"/>
  <c r="O15" i="6"/>
  <c r="O20" i="6"/>
  <c r="O15" i="5"/>
  <c r="O20" i="5"/>
  <c r="O15" i="4"/>
  <c r="O20" i="4"/>
  <c r="O15" i="2"/>
  <c r="O20" i="2"/>
  <c r="O20" i="1"/>
  <c r="O20" i="3"/>
  <c r="C30" i="3"/>
  <c r="E30" i="3"/>
  <c r="G30" i="3"/>
  <c r="I30" i="3"/>
  <c r="K30" i="3"/>
  <c r="C23" i="3"/>
  <c r="C23" i="1"/>
  <c r="C23" i="9"/>
  <c r="K23" i="1"/>
  <c r="K23" i="9"/>
  <c r="E12" i="3"/>
  <c r="E14" i="3"/>
  <c r="G12" i="3"/>
  <c r="G14" i="3"/>
  <c r="I12" i="3"/>
  <c r="I14" i="3"/>
  <c r="K12" i="3"/>
  <c r="K14" i="3"/>
  <c r="M12" i="3"/>
  <c r="M12" i="11" s="1"/>
  <c r="M14" i="3"/>
  <c r="M14" i="11" s="1"/>
  <c r="M15" i="9"/>
  <c r="M20" i="9"/>
  <c r="K15" i="9"/>
  <c r="K20" i="9"/>
  <c r="I15" i="9"/>
  <c r="I20" i="9"/>
  <c r="G15" i="9"/>
  <c r="G20" i="9"/>
  <c r="E15" i="9"/>
  <c r="E20" i="9"/>
  <c r="K23" i="6"/>
  <c r="C23" i="6"/>
  <c r="M15" i="6"/>
  <c r="M20" i="6"/>
  <c r="K15" i="6"/>
  <c r="K20" i="6"/>
  <c r="I15" i="6"/>
  <c r="I20" i="6"/>
  <c r="G15" i="6"/>
  <c r="G20" i="6"/>
  <c r="E15" i="6"/>
  <c r="E20" i="6"/>
  <c r="M15" i="1"/>
  <c r="M20" i="1"/>
  <c r="K15" i="1"/>
  <c r="K20" i="1"/>
  <c r="I15" i="1"/>
  <c r="I20" i="1"/>
  <c r="G15" i="1"/>
  <c r="G20" i="1"/>
  <c r="E15" i="1"/>
  <c r="E20" i="1"/>
  <c r="M20" i="3"/>
  <c r="K20" i="3"/>
  <c r="I20" i="3"/>
  <c r="G20" i="3"/>
  <c r="E20" i="3"/>
  <c r="K23" i="8"/>
  <c r="K23" i="7"/>
  <c r="K23" i="5"/>
  <c r="K23" i="4"/>
  <c r="K23" i="2"/>
  <c r="M15" i="7"/>
  <c r="M20" i="7"/>
  <c r="M21" i="7" s="1"/>
  <c r="M15" i="2"/>
  <c r="M20" i="2"/>
  <c r="M15" i="4"/>
  <c r="M20" i="4"/>
  <c r="M15" i="5"/>
  <c r="M20" i="5"/>
  <c r="M15" i="8"/>
  <c r="M20" i="8"/>
  <c r="C14" i="3"/>
  <c r="C12" i="3"/>
  <c r="K30" i="8"/>
  <c r="I30" i="8"/>
  <c r="G30" i="8"/>
  <c r="E30" i="8"/>
  <c r="C30" i="8"/>
  <c r="C23" i="2"/>
  <c r="C23" i="4"/>
  <c r="C23" i="5"/>
  <c r="C23" i="7"/>
  <c r="C23" i="8"/>
  <c r="E23" i="7"/>
  <c r="E23" i="8"/>
  <c r="K15" i="8"/>
  <c r="K20" i="8"/>
  <c r="K15" i="7"/>
  <c r="K20" i="7"/>
  <c r="K15" i="5"/>
  <c r="K21" i="5" s="1"/>
  <c r="K20" i="5"/>
  <c r="K15" i="4"/>
  <c r="K20" i="4"/>
  <c r="K15" i="2"/>
  <c r="K20" i="2"/>
  <c r="I15" i="8"/>
  <c r="I20" i="8"/>
  <c r="I15" i="7"/>
  <c r="I20" i="7"/>
  <c r="I15" i="5"/>
  <c r="I20" i="5"/>
  <c r="I21" i="5" s="1"/>
  <c r="I15" i="4"/>
  <c r="I20" i="4"/>
  <c r="I15" i="2"/>
  <c r="I20" i="2"/>
  <c r="G20" i="8"/>
  <c r="G15" i="8"/>
  <c r="G20" i="7"/>
  <c r="G15" i="7"/>
  <c r="G20" i="5"/>
  <c r="G15" i="5"/>
  <c r="G20" i="4"/>
  <c r="G15" i="4"/>
  <c r="G20" i="2"/>
  <c r="G15" i="2"/>
  <c r="E15" i="2"/>
  <c r="E20" i="2"/>
  <c r="C15" i="2"/>
  <c r="C20" i="2"/>
  <c r="C15" i="1"/>
  <c r="C20" i="1"/>
  <c r="E15" i="4"/>
  <c r="E20" i="4"/>
  <c r="C15" i="4"/>
  <c r="C20" i="4"/>
  <c r="E15" i="5"/>
  <c r="E20" i="5"/>
  <c r="C15" i="5"/>
  <c r="C20" i="5"/>
  <c r="C15" i="6"/>
  <c r="C20" i="6"/>
  <c r="C20" i="3"/>
  <c r="E15" i="7"/>
  <c r="E20" i="7"/>
  <c r="C15" i="7"/>
  <c r="C20" i="7"/>
  <c r="E15" i="8"/>
  <c r="E20" i="8"/>
  <c r="C15" i="8"/>
  <c r="C20" i="8"/>
  <c r="C15" i="9"/>
  <c r="C20" i="9"/>
  <c r="M15" i="11" l="1"/>
  <c r="M21" i="11" s="1"/>
  <c r="AG30" i="3"/>
  <c r="S30" i="11"/>
  <c r="AG30" i="11" s="1"/>
  <c r="M30" i="11"/>
  <c r="AF15" i="3"/>
  <c r="O30" i="11"/>
  <c r="AF30" i="3"/>
  <c r="AF15" i="2"/>
  <c r="U21" i="2"/>
  <c r="AG21" i="2" s="1"/>
  <c r="U21" i="6"/>
  <c r="AG21" i="6" s="1"/>
  <c r="AF15" i="6"/>
  <c r="S21" i="6"/>
  <c r="AF15" i="7"/>
  <c r="G21" i="7"/>
  <c r="AF20" i="9"/>
  <c r="AF15" i="9"/>
  <c r="AG15" i="5"/>
  <c r="AF15" i="5"/>
  <c r="U21" i="7"/>
  <c r="AG21" i="7" s="1"/>
  <c r="G21" i="6"/>
  <c r="O21" i="5"/>
  <c r="S21" i="5"/>
  <c r="Q21" i="1"/>
  <c r="Q21" i="3"/>
  <c r="S21" i="3"/>
  <c r="E15" i="3"/>
  <c r="G15" i="3"/>
  <c r="G21" i="3" s="1"/>
  <c r="I15" i="3"/>
  <c r="I21" i="3" s="1"/>
  <c r="C15" i="3"/>
  <c r="C21" i="3" s="1"/>
  <c r="E21" i="3"/>
  <c r="K15" i="3"/>
  <c r="K21" i="3" s="1"/>
  <c r="M15" i="3"/>
  <c r="M21" i="3" s="1"/>
  <c r="U21" i="5"/>
  <c r="E21" i="6"/>
  <c r="O21" i="7"/>
  <c r="I21" i="9"/>
  <c r="M21" i="9"/>
  <c r="O21" i="9"/>
  <c r="Q21" i="9"/>
  <c r="E21" i="2"/>
  <c r="C21" i="2"/>
  <c r="M21" i="2"/>
  <c r="S21" i="1"/>
  <c r="C21" i="4"/>
  <c r="K21" i="4"/>
  <c r="Q21" i="4"/>
  <c r="O21" i="4"/>
  <c r="U21" i="4"/>
  <c r="AG21" i="4" s="1"/>
  <c r="C21" i="9"/>
  <c r="G21" i="9"/>
  <c r="E21" i="9"/>
  <c r="S21" i="9"/>
  <c r="C21" i="8"/>
  <c r="E21" i="8"/>
  <c r="Q21" i="8"/>
  <c r="C21" i="7"/>
  <c r="E21" i="7"/>
  <c r="I21" i="7"/>
  <c r="O21" i="6"/>
  <c r="Q21" i="6"/>
  <c r="C21" i="6"/>
  <c r="K21" i="6"/>
  <c r="M21" i="6"/>
  <c r="E21" i="5"/>
  <c r="G21" i="5"/>
  <c r="C21" i="5"/>
  <c r="Q21" i="5"/>
  <c r="G21" i="4"/>
  <c r="S21" i="4"/>
  <c r="K21" i="2"/>
  <c r="Q21" i="2"/>
  <c r="I21" i="2"/>
  <c r="O21" i="2"/>
  <c r="C21" i="1"/>
  <c r="K21" i="1"/>
  <c r="E21" i="1"/>
  <c r="G21" i="1"/>
  <c r="M21" i="1"/>
  <c r="O15" i="1"/>
  <c r="O21" i="1" s="1"/>
  <c r="I21" i="8"/>
  <c r="S21" i="8"/>
  <c r="M21" i="8"/>
  <c r="U21" i="8"/>
  <c r="AG21" i="8" s="1"/>
  <c r="E21" i="4"/>
  <c r="G21" i="2"/>
  <c r="G21" i="8"/>
  <c r="I21" i="4"/>
  <c r="O15" i="3"/>
  <c r="O21" i="3" s="1"/>
  <c r="I21" i="1"/>
  <c r="I21" i="6"/>
  <c r="O21" i="8"/>
  <c r="S21" i="2"/>
  <c r="S21" i="7"/>
  <c r="U21" i="3"/>
  <c r="AG21" i="3" s="1"/>
  <c r="U21" i="1"/>
  <c r="AG21" i="1" s="1"/>
  <c r="U21" i="9"/>
  <c r="AG21" i="9" s="1"/>
  <c r="K21" i="7"/>
  <c r="M21" i="5"/>
  <c r="K21" i="8"/>
  <c r="M21" i="4"/>
  <c r="K21" i="9"/>
  <c r="W21" i="1"/>
  <c r="W21" i="5"/>
  <c r="W21" i="6"/>
  <c r="AF21" i="6" s="1"/>
  <c r="W21" i="7"/>
  <c r="AF21" i="7" s="1"/>
  <c r="W21" i="8"/>
  <c r="AF21" i="8" s="1"/>
  <c r="W21" i="9"/>
  <c r="AF21" i="9" s="1"/>
  <c r="W21" i="2"/>
  <c r="AF21" i="2" s="1"/>
  <c r="W21" i="4"/>
  <c r="W21" i="3"/>
  <c r="AF21" i="3" s="1"/>
  <c r="AF30" i="11" l="1"/>
  <c r="AF21" i="1"/>
  <c r="AF21" i="4"/>
  <c r="AG21" i="5"/>
  <c r="AF21" i="5"/>
</calcChain>
</file>

<file path=xl/sharedStrings.xml><?xml version="1.0" encoding="utf-8"?>
<sst xmlns="http://schemas.openxmlformats.org/spreadsheetml/2006/main" count="782" uniqueCount="59">
  <si>
    <t xml:space="preserve">Department:  Chemical Engineering </t>
  </si>
  <si>
    <t xml:space="preserve">Department:  Civil Engineering </t>
  </si>
  <si>
    <t xml:space="preserve"> </t>
  </si>
  <si>
    <t xml:space="preserve">Department:  Electrical and Computing Engineering </t>
  </si>
  <si>
    <t xml:space="preserve">Department:  Industrial and Manufacturing Systems </t>
  </si>
  <si>
    <t xml:space="preserve">Department:  Mechanical and Nuclear Engineering </t>
  </si>
  <si>
    <t>FY 2004</t>
  </si>
  <si>
    <t>FY 2005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</si>
  <si>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</si>
  <si>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</si>
  <si>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</si>
  <si>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</si>
  <si>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</si>
  <si>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</si>
  <si>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</si>
  <si>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Foundation Accounts:</t>
  </si>
  <si>
    <t>Total Donations</t>
  </si>
  <si>
    <t>Endowed Chairs</t>
  </si>
  <si>
    <t>N</t>
  </si>
  <si>
    <t>$</t>
  </si>
  <si>
    <t>FY 2006</t>
  </si>
  <si>
    <t>Department:  Architectural Engineering &amp; Construction Science</t>
  </si>
  <si>
    <t>FY 2007</t>
  </si>
  <si>
    <t>FY 2008</t>
  </si>
  <si>
    <t>FY 2009</t>
  </si>
  <si>
    <t>Includes Instructional Support and Instructional Reserve.</t>
  </si>
  <si>
    <t>Department:  Biological and Agricultural Engineering</t>
  </si>
  <si>
    <t>Five Year Average</t>
  </si>
  <si>
    <t>FY 2010</t>
  </si>
  <si>
    <t>FY 2011</t>
  </si>
  <si>
    <t>Sponsored Research Overhead</t>
  </si>
  <si>
    <t>Other (Grants, contracts, fees, sales &amp; service, copy centers, storerooms, etc)</t>
  </si>
  <si>
    <t>Other (Grants, contracts,  fees, sales &amp; service, copy centers, storerooms, etc)</t>
  </si>
  <si>
    <t>FY 2012</t>
  </si>
  <si>
    <t>FY 2013</t>
  </si>
  <si>
    <t>FY 2014</t>
  </si>
  <si>
    <t>FY 2015</t>
  </si>
  <si>
    <t>FY 2016</t>
  </si>
  <si>
    <t xml:space="preserve">Expenditures </t>
  </si>
  <si>
    <t>Extramural Research Expenditures</t>
  </si>
  <si>
    <t xml:space="preserve">Public Service GU+ RU </t>
  </si>
  <si>
    <t>Instructional Expenditures-GU + SRO Only</t>
  </si>
  <si>
    <t>Department:  Computer Science</t>
  </si>
  <si>
    <t>Grants/Contracts:</t>
  </si>
  <si>
    <t>Proposed:</t>
  </si>
  <si>
    <t>Awarded:</t>
  </si>
  <si>
    <t>Five Year % chg</t>
  </si>
  <si>
    <t>% chg</t>
  </si>
  <si>
    <t>STATISTICAL OVERVIEW</t>
  </si>
  <si>
    <t>Kansas State University</t>
  </si>
  <si>
    <t>Financial Information</t>
  </si>
  <si>
    <t xml:space="preserve">Grants/Contracts </t>
  </si>
  <si>
    <t>Grants/Contracts</t>
  </si>
  <si>
    <t>Proposed</t>
  </si>
  <si>
    <t>Awarded</t>
  </si>
  <si>
    <t>College of Engineering</t>
  </si>
  <si>
    <t>FY 2017</t>
  </si>
  <si>
    <t>Department:  Dean's Office - College of Engineering</t>
  </si>
  <si>
    <t>(Administrative/Instructional units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</si>
</sst>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&quot;$&quot;#,##0\ ;\(&quot;$&quot;#,##0\)"/>
    <numFmt numFmtId="165" formatCode="&quot;$&quot;#,##0.00\ ;\(&quot;$&quot;#,##0.00\)"/>
    <numFmt numFmtId="166" formatCode="0.0%"/>
    <numFmt numFmtId="167" formatCode="_(* #,##0_);_(* \(#,##0\);_(* &quot;-&quot;??_);_(@_)"/>
    <numFmt numFmtId="168" formatCode="&quot;$&quot;#,##0"/>
    <numFmt numFmtId="169" formatCode="&quot;$&quot;#,##0;[Red]&quot;$&quot;#,##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10" fillId="0" borderId="0"/>
    <xf numFmtId="0" fontId="9" fillId="0" borderId="0"/>
  </cellStyleXfs>
  <cellXfs count="58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64" fontId="4" fillId="0" borderId="5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164" fontId="4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7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18" xfId="0" applyFont="1" applyBorder="1"/>
    <xf numFmtId="0" fontId="4" fillId="0" borderId="20" xfId="0" applyFont="1" applyBorder="1"/>
    <xf numFmtId="0" fontId="4" fillId="0" borderId="14" xfId="0" applyFont="1" applyBorder="1"/>
    <xf numFmtId="167" fontId="4" fillId="0" borderId="19" xfId="1" applyNumberFormat="1" applyFont="1" applyBorder="1"/>
    <xf numFmtId="167" fontId="4" fillId="0" borderId="14" xfId="1" applyNumberFormat="1" applyFont="1" applyBorder="1"/>
    <xf numFmtId="164" fontId="4" fillId="0" borderId="2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64" fontId="4" fillId="0" borderId="26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/>
    <xf numFmtId="167" fontId="4" fillId="0" borderId="5" xfId="1" applyNumberFormat="1" applyFont="1" applyBorder="1"/>
    <xf numFmtId="167" fontId="4" fillId="0" borderId="6" xfId="1" applyNumberFormat="1" applyFont="1" applyBorder="1"/>
    <xf numFmtId="5" fontId="4" fillId="0" borderId="19" xfId="0" applyNumberFormat="1" applyFont="1" applyBorder="1" applyAlignment="1">
      <alignment horizontal="right"/>
    </xf>
    <xf numFmtId="5" fontId="4" fillId="0" borderId="22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7" xfId="0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164" fontId="4" fillId="0" borderId="11" xfId="0" applyNumberFormat="1" applyFont="1" applyFill="1" applyBorder="1"/>
    <xf numFmtId="0" fontId="4" fillId="0" borderId="14" xfId="0" applyFont="1" applyFill="1" applyBorder="1"/>
    <xf numFmtId="0" fontId="4" fillId="0" borderId="18" xfId="0" applyFont="1" applyFill="1" applyBorder="1"/>
    <xf numFmtId="0" fontId="4" fillId="0" borderId="20" xfId="0" applyFont="1" applyFill="1" applyBorder="1"/>
    <xf numFmtId="5" fontId="4" fillId="0" borderId="5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4" fillId="0" borderId="23" xfId="0" applyFont="1" applyFill="1" applyBorder="1"/>
    <xf numFmtId="164" fontId="4" fillId="0" borderId="20" xfId="0" applyNumberFormat="1" applyFont="1" applyFill="1" applyBorder="1"/>
    <xf numFmtId="164" fontId="4" fillId="0" borderId="26" xfId="0" applyNumberFormat="1" applyFont="1" applyFill="1" applyBorder="1"/>
    <xf numFmtId="164" fontId="4" fillId="0" borderId="25" xfId="0" applyNumberFormat="1" applyFont="1" applyFill="1" applyBorder="1"/>
    <xf numFmtId="164" fontId="4" fillId="0" borderId="18" xfId="0" applyNumberFormat="1" applyFont="1" applyFill="1" applyBorder="1"/>
    <xf numFmtId="164" fontId="4" fillId="0" borderId="21" xfId="0" applyNumberFormat="1" applyFont="1" applyFill="1" applyBorder="1"/>
    <xf numFmtId="164" fontId="4" fillId="0" borderId="11" xfId="3" applyNumberFormat="1" applyFont="1" applyBorder="1" applyAlignment="1">
      <alignment horizontal="right"/>
    </xf>
    <xf numFmtId="0" fontId="3" fillId="0" borderId="4" xfId="0" applyFont="1" applyBorder="1"/>
    <xf numFmtId="0" fontId="4" fillId="0" borderId="3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164" fontId="4" fillId="0" borderId="22" xfId="3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3" fillId="0" borderId="32" xfId="0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19" xfId="0" applyFont="1" applyFill="1" applyBorder="1"/>
    <xf numFmtId="167" fontId="4" fillId="0" borderId="19" xfId="1" applyNumberFormat="1" applyFont="1" applyFill="1" applyBorder="1"/>
    <xf numFmtId="167" fontId="4" fillId="0" borderId="14" xfId="1" applyNumberFormat="1" applyFont="1" applyFill="1" applyBorder="1"/>
    <xf numFmtId="164" fontId="4" fillId="0" borderId="22" xfId="3" applyNumberFormat="1" applyFont="1" applyFill="1" applyBorder="1" applyAlignment="1">
      <alignment horizontal="right"/>
    </xf>
    <xf numFmtId="167" fontId="4" fillId="0" borderId="5" xfId="1" applyNumberFormat="1" applyFont="1" applyFill="1" applyBorder="1"/>
    <xf numFmtId="167" fontId="4" fillId="0" borderId="6" xfId="1" applyNumberFormat="1" applyFont="1" applyFill="1" applyBorder="1"/>
    <xf numFmtId="164" fontId="4" fillId="0" borderId="11" xfId="3" applyNumberFormat="1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8" fontId="4" fillId="0" borderId="14" xfId="0" applyNumberFormat="1" applyFont="1" applyBorder="1" applyAlignment="1">
      <alignment horizontal="right"/>
    </xf>
    <xf numFmtId="168" fontId="4" fillId="0" borderId="6" xfId="0" applyNumberFormat="1" applyFont="1" applyBorder="1"/>
    <xf numFmtId="168" fontId="4" fillId="0" borderId="6" xfId="0" applyNumberFormat="1" applyFont="1" applyBorder="1" applyAlignment="1">
      <alignment horizontal="right"/>
    </xf>
    <xf numFmtId="168" fontId="8" fillId="0" borderId="5" xfId="0" applyNumberFormat="1" applyFont="1" applyFill="1" applyBorder="1"/>
    <xf numFmtId="168" fontId="8" fillId="0" borderId="11" xfId="0" applyNumberFormat="1" applyFont="1" applyFill="1" applyBorder="1"/>
    <xf numFmtId="0" fontId="4" fillId="0" borderId="20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 applyProtection="1"/>
    <xf numFmtId="164" fontId="4" fillId="0" borderId="35" xfId="0" applyNumberFormat="1" applyFont="1" applyFill="1" applyBorder="1"/>
    <xf numFmtId="168" fontId="4" fillId="0" borderId="14" xfId="0" applyNumberFormat="1" applyFont="1" applyFill="1" applyBorder="1"/>
    <xf numFmtId="168" fontId="4" fillId="0" borderId="14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/>
    <xf numFmtId="168" fontId="4" fillId="0" borderId="14" xfId="0" applyNumberFormat="1" applyFont="1" applyBorder="1"/>
    <xf numFmtId="168" fontId="8" fillId="0" borderId="19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7" fontId="4" fillId="0" borderId="14" xfId="1" applyNumberFormat="1" applyFont="1" applyBorder="1" applyAlignment="1"/>
    <xf numFmtId="168" fontId="4" fillId="0" borderId="22" xfId="0" applyNumberFormat="1" applyFont="1" applyBorder="1" applyAlignment="1"/>
    <xf numFmtId="168" fontId="8" fillId="0" borderId="28" xfId="0" applyNumberFormat="1" applyFont="1" applyBorder="1"/>
    <xf numFmtId="168" fontId="8" fillId="0" borderId="11" xfId="0" applyNumberFormat="1" applyFont="1" applyFill="1" applyBorder="1" applyAlignment="1" applyProtection="1"/>
    <xf numFmtId="168" fontId="8" fillId="0" borderId="0" xfId="0" applyNumberFormat="1" applyFont="1" applyBorder="1"/>
    <xf numFmtId="168" fontId="8" fillId="0" borderId="5" xfId="0" applyNumberFormat="1" applyFont="1" applyBorder="1"/>
    <xf numFmtId="164" fontId="4" fillId="0" borderId="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8" fontId="4" fillId="0" borderId="5" xfId="0" applyNumberFormat="1" applyFont="1" applyFill="1" applyBorder="1"/>
    <xf numFmtId="168" fontId="8" fillId="0" borderId="19" xfId="0" applyNumberFormat="1" applyFont="1" applyBorder="1"/>
    <xf numFmtId="168" fontId="8" fillId="0" borderId="21" xfId="0" applyNumberFormat="1" applyFont="1" applyFill="1" applyBorder="1"/>
    <xf numFmtId="0" fontId="4" fillId="0" borderId="6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8" fontId="8" fillId="0" borderId="28" xfId="0" applyNumberFormat="1" applyFont="1" applyBorder="1" applyAlignment="1">
      <alignment horizontal="right"/>
    </xf>
    <xf numFmtId="168" fontId="8" fillId="0" borderId="5" xfId="0" applyNumberFormat="1" applyFont="1" applyFill="1" applyBorder="1" applyAlignment="1">
      <alignment horizontal="right"/>
    </xf>
    <xf numFmtId="168" fontId="8" fillId="0" borderId="34" xfId="0" applyNumberFormat="1" applyFont="1" applyFill="1" applyBorder="1" applyAlignment="1" applyProtection="1"/>
    <xf numFmtId="168" fontId="4" fillId="0" borderId="18" xfId="0" applyNumberFormat="1" applyFont="1" applyFill="1" applyBorder="1"/>
    <xf numFmtId="0" fontId="3" fillId="0" borderId="38" xfId="0" applyFont="1" applyBorder="1"/>
    <xf numFmtId="0" fontId="0" fillId="0" borderId="0" xfId="0" applyFill="1" applyBorder="1"/>
    <xf numFmtId="168" fontId="4" fillId="0" borderId="14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39" xfId="0" applyFont="1" applyBorder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3" xfId="0" applyNumberFormat="1" applyFont="1" applyFill="1" applyBorder="1"/>
    <xf numFmtId="164" fontId="4" fillId="0" borderId="34" xfId="0" applyNumberFormat="1" applyFont="1" applyFill="1" applyBorder="1"/>
    <xf numFmtId="168" fontId="8" fillId="0" borderId="41" xfId="0" applyNumberFormat="1" applyFont="1" applyFill="1" applyBorder="1" applyAlignment="1" applyProtection="1"/>
    <xf numFmtId="168" fontId="8" fillId="0" borderId="28" xfId="0" applyNumberFormat="1" applyFont="1" applyFill="1" applyBorder="1"/>
    <xf numFmtId="0" fontId="0" fillId="0" borderId="28" xfId="0" applyFill="1" applyBorder="1"/>
    <xf numFmtId="167" fontId="4" fillId="2" borderId="19" xfId="1" applyNumberFormat="1" applyFont="1" applyFill="1" applyBorder="1"/>
    <xf numFmtId="167" fontId="4" fillId="2" borderId="14" xfId="1" applyNumberFormat="1" applyFont="1" applyFill="1" applyBorder="1"/>
    <xf numFmtId="5" fontId="4" fillId="0" borderId="14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7" fontId="3" fillId="0" borderId="0" xfId="1" applyNumberFormat="1" applyFont="1" applyFill="1" applyBorder="1"/>
    <xf numFmtId="0" fontId="4" fillId="0" borderId="13" xfId="0" applyFont="1" applyBorder="1"/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5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169" fontId="4" fillId="0" borderId="22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center"/>
    </xf>
    <xf numFmtId="168" fontId="4" fillId="0" borderId="22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4" fillId="0" borderId="21" xfId="0" applyNumberFormat="1" applyFont="1" applyFill="1" applyBorder="1" applyAlignment="1">
      <alignment horizontal="center"/>
    </xf>
    <xf numFmtId="0" fontId="3" fillId="0" borderId="60" xfId="0" applyFont="1" applyBorder="1"/>
    <xf numFmtId="5" fontId="4" fillId="0" borderId="11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/>
    <xf numFmtId="168" fontId="8" fillId="0" borderId="0" xfId="0" applyNumberFormat="1" applyFont="1" applyBorder="1" applyAlignment="1">
      <alignment horizontal="right"/>
    </xf>
    <xf numFmtId="0" fontId="4" fillId="0" borderId="37" xfId="0" applyFont="1" applyBorder="1" applyAlignment="1"/>
    <xf numFmtId="164" fontId="4" fillId="0" borderId="22" xfId="0" applyNumberFormat="1" applyFont="1" applyFill="1" applyBorder="1" applyAlignment="1"/>
    <xf numFmtId="164" fontId="4" fillId="0" borderId="36" xfId="0" applyNumberFormat="1" applyFont="1" applyBorder="1"/>
    <xf numFmtId="5" fontId="4" fillId="0" borderId="37" xfId="0" applyNumberFormat="1" applyFont="1" applyBorder="1" applyAlignment="1">
      <alignment horizontal="right"/>
    </xf>
    <xf numFmtId="168" fontId="4" fillId="0" borderId="22" xfId="0" applyNumberFormat="1" applyFont="1" applyFill="1" applyBorder="1" applyAlignment="1"/>
    <xf numFmtId="168" fontId="4" fillId="0" borderId="11" xfId="0" applyNumberFormat="1" applyFont="1" applyFill="1" applyBorder="1" applyAlignment="1">
      <alignment horizontal="right"/>
    </xf>
    <xf numFmtId="164" fontId="4" fillId="0" borderId="35" xfId="0" applyNumberFormat="1" applyFont="1" applyBorder="1"/>
    <xf numFmtId="164" fontId="4" fillId="0" borderId="41" xfId="0" applyNumberFormat="1" applyFont="1" applyBorder="1" applyAlignment="1">
      <alignment horizontal="right"/>
    </xf>
    <xf numFmtId="164" fontId="4" fillId="0" borderId="34" xfId="0" applyNumberFormat="1" applyFont="1" applyBorder="1"/>
    <xf numFmtId="164" fontId="4" fillId="0" borderId="41" xfId="0" applyNumberFormat="1" applyFont="1" applyFill="1" applyBorder="1" applyAlignment="1">
      <alignment horizontal="center"/>
    </xf>
    <xf numFmtId="164" fontId="4" fillId="5" borderId="27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4" xfId="0" applyNumberFormat="1" applyFont="1" applyFill="1" applyBorder="1" applyAlignment="1"/>
    <xf numFmtId="164" fontId="4" fillId="0" borderId="34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4" borderId="27" xfId="0" applyNumberFormat="1" applyFont="1" applyFill="1" applyBorder="1" applyAlignment="1">
      <alignment horizontal="right"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4" fillId="0" borderId="65" xfId="0" applyNumberFormat="1" applyFont="1" applyFill="1" applyBorder="1" applyAlignment="1">
      <alignment horizontal="center"/>
    </xf>
    <xf numFmtId="168" fontId="4" fillId="0" borderId="66" xfId="0" applyNumberFormat="1" applyFon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168" fontId="4" fillId="0" borderId="68" xfId="0" applyNumberFormat="1" applyFont="1" applyFill="1" applyBorder="1" applyAlignment="1">
      <alignment horizontal="right"/>
    </xf>
    <xf numFmtId="164" fontId="4" fillId="0" borderId="69" xfId="0" applyNumberFormat="1" applyFont="1" applyFill="1" applyBorder="1" applyAlignment="1">
      <alignment horizontal="center"/>
    </xf>
    <xf numFmtId="168" fontId="4" fillId="0" borderId="66" xfId="0" applyNumberFormat="1" applyFont="1" applyFill="1" applyBorder="1" applyAlignment="1">
      <alignment horizontal="right"/>
    </xf>
    <xf numFmtId="164" fontId="3" fillId="0" borderId="63" xfId="0" applyNumberFormat="1" applyFont="1" applyFill="1" applyBorder="1" applyAlignment="1">
      <alignment horizontal="center"/>
    </xf>
    <xf numFmtId="164" fontId="3" fillId="0" borderId="64" xfId="0" applyNumberFormat="1" applyFont="1" applyFill="1" applyBorder="1" applyAlignment="1">
      <alignment horizontal="center"/>
    </xf>
    <xf numFmtId="164" fontId="3" fillId="0" borderId="69" xfId="0" applyNumberFormat="1" applyFont="1" applyFill="1" applyBorder="1" applyAlignment="1">
      <alignment horizontal="center"/>
    </xf>
    <xf numFmtId="0" fontId="4" fillId="0" borderId="62" xfId="0" applyFont="1" applyBorder="1" applyAlignment="1">
      <alignment horizontal="left" wrapText="1" indent="1"/>
    </xf>
    <xf numFmtId="0" fontId="4" fillId="0" borderId="26" xfId="0" applyFont="1" applyBorder="1"/>
    <xf numFmtId="167" fontId="4" fillId="0" borderId="27" xfId="1" applyNumberFormat="1" applyFont="1" applyBorder="1"/>
    <xf numFmtId="0" fontId="4" fillId="0" borderId="26" xfId="0" applyFont="1" applyFill="1" applyBorder="1"/>
    <xf numFmtId="167" fontId="4" fillId="0" borderId="27" xfId="1" applyNumberFormat="1" applyFont="1" applyFill="1" applyBorder="1"/>
    <xf numFmtId="0" fontId="4" fillId="0" borderId="13" xfId="0" applyFont="1" applyFill="1" applyBorder="1"/>
    <xf numFmtId="167" fontId="4" fillId="0" borderId="13" xfId="1" applyNumberFormat="1" applyFont="1" applyFill="1" applyBorder="1"/>
    <xf numFmtId="167" fontId="4" fillId="0" borderId="27" xfId="1" applyNumberFormat="1" applyFont="1" applyBorder="1" applyAlignment="1"/>
    <xf numFmtId="0" fontId="7" fillId="0" borderId="8" xfId="0" applyFont="1" applyBorder="1" applyAlignment="1">
      <alignment horizontal="left" indent="1"/>
    </xf>
    <xf numFmtId="167" fontId="4" fillId="0" borderId="19" xfId="1" applyNumberFormat="1" applyFont="1" applyBorder="1" applyAlignment="1"/>
    <xf numFmtId="0" fontId="3" fillId="0" borderId="76" xfId="0" applyFont="1" applyBorder="1" applyAlignment="1">
      <alignment horizontal="left" indent="1"/>
    </xf>
    <xf numFmtId="0" fontId="3" fillId="0" borderId="77" xfId="0" applyFont="1" applyBorder="1"/>
    <xf numFmtId="167" fontId="3" fillId="0" borderId="78" xfId="1" applyNumberFormat="1" applyFont="1" applyBorder="1"/>
    <xf numFmtId="167" fontId="3" fillId="0" borderId="78" xfId="1" applyNumberFormat="1" applyFont="1" applyBorder="1" applyAlignment="1"/>
    <xf numFmtId="0" fontId="3" fillId="0" borderId="77" xfId="0" applyFont="1" applyFill="1" applyBorder="1"/>
    <xf numFmtId="167" fontId="3" fillId="0" borderId="78" xfId="1" applyNumberFormat="1" applyFont="1" applyFill="1" applyBorder="1"/>
    <xf numFmtId="0" fontId="3" fillId="0" borderId="79" xfId="0" applyFont="1" applyFill="1" applyBorder="1"/>
    <xf numFmtId="167" fontId="3" fillId="0" borderId="79" xfId="1" applyNumberFormat="1" applyFont="1" applyFill="1" applyBorder="1"/>
    <xf numFmtId="0" fontId="3" fillId="0" borderId="8" xfId="0" applyFont="1" applyBorder="1"/>
    <xf numFmtId="0" fontId="4" fillId="0" borderId="19" xfId="0" applyFont="1" applyBorder="1"/>
    <xf numFmtId="0" fontId="4" fillId="0" borderId="19" xfId="0" applyFont="1" applyBorder="1" applyAlignment="1"/>
    <xf numFmtId="0" fontId="3" fillId="0" borderId="85" xfId="0" applyFont="1" applyBorder="1" applyAlignment="1">
      <alignment horizontal="left" indent="1"/>
    </xf>
    <xf numFmtId="0" fontId="4" fillId="0" borderId="86" xfId="0" applyFont="1" applyBorder="1"/>
    <xf numFmtId="167" fontId="3" fillId="0" borderId="87" xfId="1" applyNumberFormat="1" applyFont="1" applyBorder="1"/>
    <xf numFmtId="167" fontId="3" fillId="0" borderId="87" xfId="1" applyNumberFormat="1" applyFont="1" applyBorder="1" applyAlignment="1"/>
    <xf numFmtId="0" fontId="4" fillId="0" borderId="86" xfId="0" applyFont="1" applyFill="1" applyBorder="1"/>
    <xf numFmtId="167" fontId="3" fillId="0" borderId="87" xfId="1" applyNumberFormat="1" applyFont="1" applyFill="1" applyBorder="1"/>
    <xf numFmtId="0" fontId="4" fillId="0" borderId="88" xfId="0" applyFont="1" applyFill="1" applyBorder="1"/>
    <xf numFmtId="167" fontId="3" fillId="0" borderId="88" xfId="1" applyNumberFormat="1" applyFont="1" applyFill="1" applyBorder="1"/>
    <xf numFmtId="164" fontId="4" fillId="0" borderId="19" xfId="0" applyNumberFormat="1" applyFont="1" applyFill="1" applyBorder="1" applyAlignment="1">
      <alignment horizontal="center"/>
    </xf>
    <xf numFmtId="5" fontId="4" fillId="0" borderId="19" xfId="0" applyNumberFormat="1" applyFont="1" applyFill="1" applyBorder="1" applyAlignment="1">
      <alignment horizontal="center"/>
    </xf>
    <xf numFmtId="0" fontId="3" fillId="0" borderId="85" xfId="0" applyFont="1" applyBorder="1" applyAlignment="1">
      <alignment horizontal="left" indent="3"/>
    </xf>
    <xf numFmtId="0" fontId="3" fillId="0" borderId="85" xfId="0" applyFont="1" applyBorder="1" applyAlignment="1">
      <alignment horizontal="left" indent="4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15" xfId="0" applyFont="1" applyBorder="1"/>
    <xf numFmtId="166" fontId="4" fillId="0" borderId="15" xfId="0" applyNumberFormat="1" applyFont="1" applyBorder="1"/>
    <xf numFmtId="166" fontId="3" fillId="0" borderId="80" xfId="0" applyNumberFormat="1" applyFont="1" applyBorder="1"/>
    <xf numFmtId="0" fontId="4" fillId="0" borderId="29" xfId="0" applyFont="1" applyBorder="1"/>
    <xf numFmtId="166" fontId="4" fillId="0" borderId="46" xfId="0" applyNumberFormat="1" applyFont="1" applyBorder="1"/>
    <xf numFmtId="166" fontId="3" fillId="0" borderId="90" xfId="0" applyNumberFormat="1" applyFont="1" applyBorder="1"/>
    <xf numFmtId="166" fontId="3" fillId="0" borderId="82" xfId="0" applyNumberFormat="1" applyFont="1" applyBorder="1"/>
    <xf numFmtId="0" fontId="4" fillId="4" borderId="91" xfId="0" applyFont="1" applyFill="1" applyBorder="1"/>
    <xf numFmtId="0" fontId="3" fillId="0" borderId="92" xfId="0" applyFont="1" applyBorder="1" applyAlignment="1">
      <alignment horizontal="center"/>
    </xf>
    <xf numFmtId="166" fontId="4" fillId="0" borderId="93" xfId="0" applyNumberFormat="1" applyFont="1" applyBorder="1"/>
    <xf numFmtId="0" fontId="4" fillId="4" borderId="49" xfId="0" applyFont="1" applyFill="1" applyBorder="1"/>
    <xf numFmtId="166" fontId="4" fillId="0" borderId="94" xfId="0" applyNumberFormat="1" applyFont="1" applyBorder="1"/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Fill="1" applyAlignment="1" applyProtection="1"/>
    <xf numFmtId="0" fontId="2" fillId="0" borderId="0" xfId="0" applyFont="1"/>
    <xf numFmtId="0" fontId="3" fillId="0" borderId="33" xfId="0" applyFont="1" applyBorder="1"/>
    <xf numFmtId="0" fontId="3" fillId="0" borderId="7" xfId="0" applyFont="1" applyBorder="1"/>
    <xf numFmtId="168" fontId="4" fillId="0" borderId="96" xfId="0" applyNumberFormat="1" applyFont="1" applyFill="1" applyBorder="1" applyAlignment="1">
      <alignment horizontal="right"/>
    </xf>
    <xf numFmtId="169" fontId="4" fillId="0" borderId="97" xfId="0" applyNumberFormat="1" applyFont="1" applyFill="1" applyBorder="1" applyAlignment="1">
      <alignment horizontal="right"/>
    </xf>
    <xf numFmtId="169" fontId="4" fillId="0" borderId="98" xfId="0" applyNumberFormat="1" applyFont="1" applyFill="1" applyBorder="1" applyAlignment="1">
      <alignment horizontal="right"/>
    </xf>
    <xf numFmtId="0" fontId="4" fillId="0" borderId="71" xfId="0" applyNumberFormat="1" applyFont="1" applyFill="1" applyBorder="1" applyAlignment="1">
      <alignment horizontal="center"/>
    </xf>
    <xf numFmtId="168" fontId="4" fillId="0" borderId="96" xfId="0" applyNumberFormat="1" applyFont="1" applyFill="1" applyBorder="1"/>
    <xf numFmtId="1" fontId="4" fillId="0" borderId="73" xfId="0" applyNumberFormat="1" applyFont="1" applyFill="1" applyBorder="1" applyAlignment="1">
      <alignment horizontal="center"/>
    </xf>
    <xf numFmtId="169" fontId="4" fillId="0" borderId="68" xfId="0" applyNumberFormat="1" applyFont="1" applyFill="1" applyBorder="1" applyAlignment="1">
      <alignment horizontal="right"/>
    </xf>
    <xf numFmtId="0" fontId="4" fillId="0" borderId="9" xfId="10" applyFont="1" applyBorder="1" applyAlignment="1">
      <alignment horizontal="left" indent="1"/>
    </xf>
    <xf numFmtId="0" fontId="4" fillId="0" borderId="61" xfId="10" applyFont="1" applyBorder="1" applyAlignment="1">
      <alignment horizontal="left" indent="1"/>
    </xf>
    <xf numFmtId="0" fontId="3" fillId="0" borderId="8" xfId="10" applyFont="1" applyBorder="1"/>
    <xf numFmtId="0" fontId="4" fillId="0" borderId="88" xfId="0" applyFont="1" applyBorder="1"/>
    <xf numFmtId="0" fontId="3" fillId="0" borderId="99" xfId="0" applyFont="1" applyBorder="1" applyAlignment="1">
      <alignment horizontal="left" indent="1"/>
    </xf>
    <xf numFmtId="0" fontId="4" fillId="0" borderId="100" xfId="0" applyFont="1" applyBorder="1"/>
    <xf numFmtId="167" fontId="3" fillId="0" borderId="101" xfId="1" applyNumberFormat="1" applyFont="1" applyBorder="1"/>
    <xf numFmtId="0" fontId="4" fillId="0" borderId="102" xfId="0" applyFont="1" applyBorder="1"/>
    <xf numFmtId="0" fontId="4" fillId="0" borderId="102" xfId="0" applyFont="1" applyFill="1" applyBorder="1"/>
    <xf numFmtId="167" fontId="3" fillId="0" borderId="101" xfId="1" applyNumberFormat="1" applyFont="1" applyFill="1" applyBorder="1"/>
    <xf numFmtId="167" fontId="3" fillId="0" borderId="102" xfId="1" applyNumberFormat="1" applyFont="1" applyFill="1" applyBorder="1"/>
    <xf numFmtId="0" fontId="4" fillId="0" borderId="100" xfId="0" applyFont="1" applyFill="1" applyBorder="1"/>
    <xf numFmtId="0" fontId="3" fillId="0" borderId="79" xfId="0" applyFont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7" fontId="3" fillId="0" borderId="88" xfId="1" applyNumberFormat="1" applyFont="1" applyBorder="1"/>
    <xf numFmtId="167" fontId="4" fillId="0" borderId="13" xfId="1" applyNumberFormat="1" applyFont="1" applyBorder="1"/>
    <xf numFmtId="0" fontId="3" fillId="0" borderId="99" xfId="0" applyFont="1" applyBorder="1" applyAlignment="1">
      <alignment horizontal="left" indent="3"/>
    </xf>
    <xf numFmtId="167" fontId="3" fillId="0" borderId="102" xfId="1" applyNumberFormat="1" applyFont="1" applyBorder="1"/>
    <xf numFmtId="167" fontId="3" fillId="0" borderId="79" xfId="1" applyNumberFormat="1" applyFont="1" applyBorder="1"/>
    <xf numFmtId="166" fontId="4" fillId="0" borderId="48" xfId="0" applyNumberFormat="1" applyFont="1" applyBorder="1"/>
    <xf numFmtId="164" fontId="3" fillId="0" borderId="59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104" xfId="0" applyNumberFormat="1" applyFont="1" applyFill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0" fontId="4" fillId="0" borderId="25" xfId="0" applyFont="1" applyFill="1" applyBorder="1"/>
    <xf numFmtId="167" fontId="3" fillId="0" borderId="28" xfId="1" applyNumberFormat="1" applyFont="1" applyFill="1" applyBorder="1"/>
    <xf numFmtId="164" fontId="4" fillId="0" borderId="5" xfId="0" applyNumberFormat="1" applyFont="1" applyFill="1" applyBorder="1" applyAlignment="1">
      <alignment horizontal="center"/>
    </xf>
    <xf numFmtId="164" fontId="4" fillId="0" borderId="1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8" xfId="10" applyFont="1" applyBorder="1" applyAlignment="1">
      <alignment horizontal="left" indent="1"/>
    </xf>
    <xf numFmtId="3" fontId="4" fillId="0" borderId="67" xfId="0" applyNumberFormat="1" applyFont="1" applyFill="1" applyBorder="1" applyAlignment="1">
      <alignment horizontal="center"/>
    </xf>
    <xf numFmtId="0" fontId="3" fillId="0" borderId="111" xfId="0" applyFont="1" applyBorder="1" applyAlignment="1">
      <alignment horizontal="center" wrapText="1"/>
    </xf>
    <xf numFmtId="0" fontId="4" fillId="0" borderId="75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indent="1"/>
    </xf>
    <xf numFmtId="0" fontId="3" fillId="0" borderId="112" xfId="0" applyFont="1" applyBorder="1" applyAlignment="1">
      <alignment horizontal="left" indent="1"/>
    </xf>
    <xf numFmtId="0" fontId="3" fillId="0" borderId="86" xfId="0" applyFont="1" applyBorder="1"/>
    <xf numFmtId="0" fontId="3" fillId="0" borderId="88" xfId="0" applyFont="1" applyBorder="1"/>
    <xf numFmtId="0" fontId="3" fillId="0" borderId="86" xfId="0" applyFont="1" applyFill="1" applyBorder="1"/>
    <xf numFmtId="0" fontId="3" fillId="0" borderId="88" xfId="0" applyFont="1" applyFill="1" applyBorder="1"/>
    <xf numFmtId="0" fontId="3" fillId="0" borderId="114" xfId="0" applyFont="1" applyBorder="1"/>
    <xf numFmtId="0" fontId="4" fillId="0" borderId="73" xfId="0" applyNumberFormat="1" applyFont="1" applyFill="1" applyBorder="1" applyAlignment="1">
      <alignment horizontal="center"/>
    </xf>
    <xf numFmtId="0" fontId="3" fillId="0" borderId="113" xfId="0" applyFont="1" applyBorder="1" applyAlignment="1">
      <alignment horizontal="left" indent="3"/>
    </xf>
    <xf numFmtId="1" fontId="4" fillId="0" borderId="65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64" fontId="3" fillId="0" borderId="53" xfId="0" applyNumberFormat="1" applyFont="1" applyBorder="1" applyAlignment="1">
      <alignment horizontal="right"/>
    </xf>
    <xf numFmtId="164" fontId="3" fillId="0" borderId="63" xfId="0" applyNumberFormat="1" applyFont="1" applyFill="1" applyBorder="1" applyAlignment="1">
      <alignment horizontal="right"/>
    </xf>
    <xf numFmtId="164" fontId="3" fillId="0" borderId="64" xfId="0" applyNumberFormat="1" applyFont="1" applyFill="1" applyBorder="1" applyAlignment="1">
      <alignment horizontal="right"/>
    </xf>
    <xf numFmtId="164" fontId="3" fillId="0" borderId="69" xfId="0" applyNumberFormat="1" applyFont="1" applyFill="1" applyBorder="1" applyAlignment="1">
      <alignment horizontal="right"/>
    </xf>
    <xf numFmtId="164" fontId="3" fillId="0" borderId="110" xfId="0" applyNumberFormat="1" applyFont="1" applyFill="1" applyBorder="1" applyAlignment="1">
      <alignment horizontal="right"/>
    </xf>
    <xf numFmtId="164" fontId="3" fillId="0" borderId="110" xfId="0" applyNumberFormat="1" applyFont="1" applyFill="1" applyBorder="1" applyAlignment="1">
      <alignment horizontal="center"/>
    </xf>
    <xf numFmtId="164" fontId="4" fillId="0" borderId="1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8" fontId="8" fillId="0" borderId="14" xfId="0" applyNumberFormat="1" applyFont="1" applyFill="1" applyBorder="1"/>
    <xf numFmtId="168" fontId="8" fillId="0" borderId="22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4" borderId="92" xfId="0" applyFont="1" applyFill="1" applyBorder="1"/>
    <xf numFmtId="0" fontId="10" fillId="0" borderId="0" xfId="0" applyFont="1" applyBorder="1" applyAlignment="1">
      <alignment horizontal="left"/>
    </xf>
    <xf numFmtId="166" fontId="4" fillId="0" borderId="29" xfId="0" applyNumberFormat="1" applyFont="1" applyBorder="1"/>
    <xf numFmtId="3" fontId="4" fillId="0" borderId="5" xfId="0" applyNumberFormat="1" applyFont="1" applyFill="1" applyBorder="1"/>
    <xf numFmtId="3" fontId="4" fillId="0" borderId="19" xfId="0" applyNumberFormat="1" applyFont="1" applyFill="1" applyBorder="1"/>
    <xf numFmtId="3" fontId="4" fillId="0" borderId="20" xfId="0" applyNumberFormat="1" applyFont="1" applyFill="1" applyBorder="1"/>
    <xf numFmtId="3" fontId="4" fillId="0" borderId="29" xfId="0" applyNumberFormat="1" applyFont="1" applyFill="1" applyBorder="1"/>
    <xf numFmtId="3" fontId="4" fillId="0" borderId="0" xfId="0" applyNumberFormat="1" applyFont="1"/>
    <xf numFmtId="3" fontId="4" fillId="0" borderId="39" xfId="0" applyNumberFormat="1" applyFont="1" applyBorder="1"/>
    <xf numFmtId="3" fontId="4" fillId="0" borderId="15" xfId="0" applyNumberFormat="1" applyFont="1" applyBorder="1"/>
    <xf numFmtId="3" fontId="4" fillId="0" borderId="19" xfId="1" applyNumberFormat="1" applyFont="1" applyFill="1" applyBorder="1"/>
    <xf numFmtId="3" fontId="4" fillId="0" borderId="29" xfId="1" applyNumberFormat="1" applyFont="1" applyFill="1" applyBorder="1"/>
    <xf numFmtId="3" fontId="4" fillId="0" borderId="40" xfId="0" applyNumberFormat="1" applyFont="1" applyBorder="1"/>
    <xf numFmtId="3" fontId="4" fillId="0" borderId="13" xfId="0" applyNumberFormat="1" applyFont="1" applyFill="1" applyBorder="1"/>
    <xf numFmtId="3" fontId="4" fillId="0" borderId="27" xfId="1" applyNumberFormat="1" applyFont="1" applyFill="1" applyBorder="1"/>
    <xf numFmtId="3" fontId="4" fillId="0" borderId="46" xfId="1" applyNumberFormat="1" applyFont="1" applyFill="1" applyBorder="1"/>
    <xf numFmtId="3" fontId="4" fillId="0" borderId="45" xfId="0" applyNumberFormat="1" applyFont="1" applyBorder="1"/>
    <xf numFmtId="3" fontId="4" fillId="0" borderId="46" xfId="0" applyNumberFormat="1" applyFont="1" applyBorder="1"/>
    <xf numFmtId="3" fontId="3" fillId="0" borderId="79" xfId="0" applyNumberFormat="1" applyFont="1" applyFill="1" applyBorder="1"/>
    <xf numFmtId="3" fontId="3" fillId="0" borderId="78" xfId="1" applyNumberFormat="1" applyFont="1" applyFill="1" applyBorder="1"/>
    <xf numFmtId="3" fontId="3" fillId="0" borderId="80" xfId="1" applyNumberFormat="1" applyFont="1" applyFill="1" applyBorder="1"/>
    <xf numFmtId="3" fontId="4" fillId="0" borderId="81" xfId="0" applyNumberFormat="1" applyFont="1" applyBorder="1"/>
    <xf numFmtId="3" fontId="3" fillId="0" borderId="80" xfId="0" applyNumberFormat="1" applyFont="1" applyBorder="1"/>
    <xf numFmtId="3" fontId="4" fillId="0" borderId="43" xfId="0" applyNumberFormat="1" applyFont="1" applyBorder="1"/>
    <xf numFmtId="3" fontId="4" fillId="0" borderId="29" xfId="0" applyNumberFormat="1" applyFont="1" applyBorder="1"/>
    <xf numFmtId="3" fontId="4" fillId="0" borderId="6" xfId="0" applyNumberFormat="1" applyFont="1" applyFill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88" xfId="0" applyNumberFormat="1" applyFont="1" applyFill="1" applyBorder="1"/>
    <xf numFmtId="3" fontId="3" fillId="0" borderId="87" xfId="1" applyNumberFormat="1" applyFont="1" applyFill="1" applyBorder="1"/>
    <xf numFmtId="3" fontId="3" fillId="0" borderId="89" xfId="1" applyNumberFormat="1" applyFont="1" applyFill="1" applyBorder="1"/>
    <xf numFmtId="3" fontId="4" fillId="0" borderId="115" xfId="0" applyNumberFormat="1" applyFont="1" applyBorder="1"/>
    <xf numFmtId="3" fontId="3" fillId="0" borderId="116" xfId="0" applyNumberFormat="1" applyFont="1" applyBorder="1"/>
    <xf numFmtId="3" fontId="4" fillId="0" borderId="19" xfId="0" applyNumberFormat="1" applyFont="1" applyFill="1" applyBorder="1" applyAlignment="1">
      <alignment horizontal="center"/>
    </xf>
    <xf numFmtId="3" fontId="4" fillId="4" borderId="18" xfId="0" applyNumberFormat="1" applyFont="1" applyFill="1" applyBorder="1"/>
    <xf numFmtId="3" fontId="4" fillId="3" borderId="1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4" borderId="20" xfId="0" applyNumberFormat="1" applyFont="1" applyFill="1" applyBorder="1"/>
    <xf numFmtId="3" fontId="4" fillId="0" borderId="14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3" fontId="4" fillId="4" borderId="35" xfId="0" applyNumberFormat="1" applyFont="1" applyFill="1" applyBorder="1" applyAlignment="1">
      <alignment horizontal="center"/>
    </xf>
    <xf numFmtId="3" fontId="4" fillId="3" borderId="47" xfId="0" applyNumberFormat="1" applyFont="1" applyFill="1" applyBorder="1" applyAlignment="1">
      <alignment horizontal="center"/>
    </xf>
    <xf numFmtId="3" fontId="4" fillId="0" borderId="42" xfId="0" applyNumberFormat="1" applyFont="1" applyBorder="1"/>
    <xf numFmtId="3" fontId="3" fillId="0" borderId="69" xfId="0" applyNumberFormat="1" applyFont="1" applyFill="1" applyBorder="1" applyAlignment="1">
      <alignment horizontal="center"/>
    </xf>
    <xf numFmtId="3" fontId="3" fillId="0" borderId="64" xfId="0" applyNumberFormat="1" applyFont="1" applyFill="1" applyBorder="1" applyAlignment="1">
      <alignment horizontal="center"/>
    </xf>
    <xf numFmtId="3" fontId="3" fillId="4" borderId="69" xfId="0" applyNumberFormat="1" applyFont="1" applyFill="1" applyBorder="1" applyAlignment="1">
      <alignment horizontal="center"/>
    </xf>
    <xf numFmtId="3" fontId="3" fillId="4" borderId="70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0" borderId="60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right"/>
    </xf>
    <xf numFmtId="3" fontId="4" fillId="3" borderId="71" xfId="0" applyNumberFormat="1" applyFont="1" applyFill="1" applyBorder="1"/>
    <xf numFmtId="3" fontId="4" fillId="3" borderId="72" xfId="0" applyNumberFormat="1" applyFont="1" applyFill="1" applyBorder="1" applyAlignment="1">
      <alignment horizontal="center"/>
    </xf>
    <xf numFmtId="3" fontId="4" fillId="0" borderId="95" xfId="0" applyNumberFormat="1" applyFont="1" applyBorder="1"/>
    <xf numFmtId="3" fontId="4" fillId="0" borderId="68" xfId="0" applyNumberFormat="1" applyFont="1" applyFill="1" applyBorder="1" applyAlignment="1">
      <alignment horizontal="right"/>
    </xf>
    <xf numFmtId="3" fontId="4" fillId="3" borderId="73" xfId="0" applyNumberFormat="1" applyFont="1" applyFill="1" applyBorder="1"/>
    <xf numFmtId="3" fontId="4" fillId="3" borderId="74" xfId="0" applyNumberFormat="1" applyFont="1" applyFill="1" applyBorder="1" applyAlignment="1">
      <alignment horizontal="center"/>
    </xf>
    <xf numFmtId="3" fontId="4" fillId="0" borderId="74" xfId="0" applyNumberFormat="1" applyFont="1" applyBorder="1"/>
    <xf numFmtId="3" fontId="8" fillId="0" borderId="19" xfId="0" applyNumberFormat="1" applyFont="1" applyFill="1" applyBorder="1"/>
    <xf numFmtId="3" fontId="4" fillId="4" borderId="5" xfId="0" applyNumberFormat="1" applyFont="1" applyFill="1" applyBorder="1"/>
    <xf numFmtId="3" fontId="8" fillId="3" borderId="29" xfId="0" applyNumberFormat="1" applyFont="1" applyFill="1" applyBorder="1"/>
    <xf numFmtId="3" fontId="4" fillId="0" borderId="6" xfId="0" applyNumberFormat="1" applyFont="1" applyBorder="1"/>
    <xf numFmtId="3" fontId="4" fillId="0" borderId="34" xfId="0" applyNumberFormat="1" applyFont="1" applyFill="1" applyBorder="1"/>
    <xf numFmtId="3" fontId="8" fillId="0" borderId="41" xfId="0" applyNumberFormat="1" applyFont="1" applyFill="1" applyBorder="1" applyAlignment="1" applyProtection="1"/>
    <xf numFmtId="3" fontId="4" fillId="4" borderId="34" xfId="0" applyNumberFormat="1" applyFont="1" applyFill="1" applyBorder="1"/>
    <xf numFmtId="3" fontId="8" fillId="3" borderId="47" xfId="0" applyNumberFormat="1" applyFont="1" applyFill="1" applyBorder="1" applyAlignment="1" applyProtection="1"/>
    <xf numFmtId="3" fontId="4" fillId="0" borderId="48" xfId="0" applyNumberFormat="1" applyFont="1" applyBorder="1"/>
    <xf numFmtId="3" fontId="4" fillId="0" borderId="0" xfId="0" applyNumberFormat="1" applyFont="1" applyFill="1"/>
    <xf numFmtId="3" fontId="3" fillId="0" borderId="17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3" fontId="4" fillId="0" borderId="102" xfId="0" applyNumberFormat="1" applyFont="1" applyFill="1" applyBorder="1"/>
    <xf numFmtId="3" fontId="3" fillId="0" borderId="101" xfId="1" applyNumberFormat="1" applyFont="1" applyFill="1" applyBorder="1"/>
    <xf numFmtId="3" fontId="3" fillId="0" borderId="103" xfId="1" applyNumberFormat="1" applyFont="1" applyFill="1" applyBorder="1"/>
    <xf numFmtId="3" fontId="4" fillId="4" borderId="6" xfId="0" applyNumberFormat="1" applyFont="1" applyFill="1" applyBorder="1"/>
    <xf numFmtId="3" fontId="4" fillId="4" borderId="14" xfId="0" applyNumberFormat="1" applyFont="1" applyFill="1" applyBorder="1" applyAlignment="1">
      <alignment horizontal="center"/>
    </xf>
    <xf numFmtId="3" fontId="4" fillId="0" borderId="26" xfId="0" applyNumberFormat="1" applyFont="1" applyBorder="1"/>
    <xf numFmtId="3" fontId="4" fillId="0" borderId="27" xfId="0" applyNumberFormat="1" applyFont="1" applyBorder="1" applyAlignment="1">
      <alignment horizontal="right"/>
    </xf>
    <xf numFmtId="3" fontId="4" fillId="4" borderId="13" xfId="0" applyNumberFormat="1" applyFont="1" applyFill="1" applyBorder="1"/>
    <xf numFmtId="3" fontId="4" fillId="3" borderId="46" xfId="0" applyNumberFormat="1" applyFont="1" applyFill="1" applyBorder="1" applyAlignment="1">
      <alignment horizontal="center"/>
    </xf>
    <xf numFmtId="3" fontId="4" fillId="0" borderId="20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4" fillId="0" borderId="22" xfId="0" applyNumberFormat="1" applyFont="1" applyBorder="1" applyAlignment="1">
      <alignment horizontal="right"/>
    </xf>
    <xf numFmtId="3" fontId="4" fillId="4" borderId="11" xfId="0" applyNumberFormat="1" applyFont="1" applyFill="1" applyBorder="1"/>
    <xf numFmtId="3" fontId="4" fillId="4" borderId="21" xfId="0" applyNumberFormat="1" applyFont="1" applyFill="1" applyBorder="1"/>
    <xf numFmtId="3" fontId="4" fillId="3" borderId="48" xfId="0" applyNumberFormat="1" applyFont="1" applyFill="1" applyBorder="1" applyAlignment="1">
      <alignment horizontal="center"/>
    </xf>
    <xf numFmtId="3" fontId="3" fillId="0" borderId="105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4" borderId="105" xfId="0" applyNumberFormat="1" applyFont="1" applyFill="1" applyBorder="1" applyAlignment="1">
      <alignment horizontal="center"/>
    </xf>
    <xf numFmtId="3" fontId="3" fillId="4" borderId="64" xfId="0" applyNumberFormat="1" applyFont="1" applyFill="1" applyBorder="1" applyAlignment="1">
      <alignment horizontal="center"/>
    </xf>
    <xf numFmtId="3" fontId="3" fillId="0" borderId="31" xfId="0" applyNumberFormat="1" applyFont="1" applyBorder="1"/>
    <xf numFmtId="3" fontId="4" fillId="0" borderId="96" xfId="0" applyNumberFormat="1" applyFont="1" applyFill="1" applyBorder="1" applyAlignment="1">
      <alignment horizontal="right"/>
    </xf>
    <xf numFmtId="3" fontId="4" fillId="3" borderId="95" xfId="0" applyNumberFormat="1" applyFont="1" applyFill="1" applyBorder="1" applyAlignment="1">
      <alignment horizontal="right"/>
    </xf>
    <xf numFmtId="3" fontId="4" fillId="3" borderId="74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8" fillId="0" borderId="28" xfId="0" applyNumberFormat="1" applyFont="1" applyFill="1" applyBorder="1"/>
    <xf numFmtId="3" fontId="4" fillId="4" borderId="0" xfId="0" applyNumberFormat="1" applyFont="1" applyFill="1" applyBorder="1"/>
    <xf numFmtId="3" fontId="8" fillId="4" borderId="28" xfId="0" applyNumberFormat="1" applyFont="1" applyFill="1" applyBorder="1"/>
    <xf numFmtId="3" fontId="8" fillId="3" borderId="31" xfId="0" applyNumberFormat="1" applyFont="1" applyFill="1" applyBorder="1"/>
    <xf numFmtId="3" fontId="4" fillId="0" borderId="11" xfId="0" applyNumberFormat="1" applyFont="1" applyFill="1" applyBorder="1"/>
    <xf numFmtId="3" fontId="8" fillId="0" borderId="22" xfId="0" applyNumberFormat="1" applyFont="1" applyFill="1" applyBorder="1" applyAlignment="1" applyProtection="1"/>
    <xf numFmtId="3" fontId="8" fillId="4" borderId="22" xfId="0" applyNumberFormat="1" applyFont="1" applyFill="1" applyBorder="1" applyAlignment="1" applyProtection="1"/>
    <xf numFmtId="3" fontId="8" fillId="3" borderId="48" xfId="0" applyNumberFormat="1" applyFont="1" applyFill="1" applyBorder="1" applyAlignment="1" applyProtection="1"/>
    <xf numFmtId="3" fontId="4" fillId="0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4" fillId="4" borderId="27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4" borderId="11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3" fillId="0" borderId="79" xfId="1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4" fillId="4" borderId="19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 horizontal="right"/>
    </xf>
    <xf numFmtId="3" fontId="4" fillId="0" borderId="35" xfId="0" applyNumberFormat="1" applyFont="1" applyBorder="1"/>
    <xf numFmtId="3" fontId="4" fillId="0" borderId="41" xfId="0" applyNumberFormat="1" applyFont="1" applyBorder="1" applyAlignment="1">
      <alignment horizontal="right"/>
    </xf>
    <xf numFmtId="3" fontId="4" fillId="4" borderId="41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49" xfId="0" applyNumberFormat="1" applyFont="1" applyFill="1" applyBorder="1" applyAlignment="1">
      <alignment horizontal="center"/>
    </xf>
    <xf numFmtId="3" fontId="4" fillId="3" borderId="95" xfId="0" applyNumberFormat="1" applyFont="1" applyFill="1" applyBorder="1" applyAlignment="1">
      <alignment horizontal="center"/>
    </xf>
    <xf numFmtId="3" fontId="4" fillId="0" borderId="22" xfId="3" applyNumberFormat="1" applyFont="1" applyFill="1" applyBorder="1" applyAlignment="1">
      <alignment horizontal="right"/>
    </xf>
    <xf numFmtId="3" fontId="4" fillId="4" borderId="22" xfId="3" applyNumberFormat="1" applyFont="1" applyFill="1" applyBorder="1" applyAlignment="1">
      <alignment horizontal="right"/>
    </xf>
    <xf numFmtId="3" fontId="4" fillId="3" borderId="48" xfId="3" applyNumberFormat="1" applyFont="1" applyFill="1" applyBorder="1" applyAlignment="1">
      <alignment horizontal="right"/>
    </xf>
    <xf numFmtId="3" fontId="3" fillId="0" borderId="28" xfId="1" applyNumberFormat="1" applyFont="1" applyFill="1" applyBorder="1"/>
    <xf numFmtId="3" fontId="3" fillId="0" borderId="31" xfId="1" applyNumberFormat="1" applyFont="1" applyFill="1" applyBorder="1"/>
    <xf numFmtId="3" fontId="4" fillId="4" borderId="19" xfId="0" applyNumberFormat="1" applyFont="1" applyFill="1" applyBorder="1" applyAlignment="1">
      <alignment horizontal="center"/>
    </xf>
    <xf numFmtId="3" fontId="4" fillId="3" borderId="29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 horizontal="center"/>
    </xf>
    <xf numFmtId="3" fontId="4" fillId="4" borderId="35" xfId="0" applyNumberFormat="1" applyFont="1" applyFill="1" applyBorder="1"/>
    <xf numFmtId="3" fontId="4" fillId="0" borderId="69" xfId="0" applyNumberFormat="1" applyFont="1" applyFill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4" borderId="69" xfId="0" applyNumberFormat="1" applyFont="1" applyFill="1" applyBorder="1" applyAlignment="1">
      <alignment horizontal="center"/>
    </xf>
    <xf numFmtId="3" fontId="4" fillId="4" borderId="64" xfId="0" applyNumberFormat="1" applyFont="1" applyFill="1" applyBorder="1" applyAlignment="1">
      <alignment horizontal="center"/>
    </xf>
    <xf numFmtId="3" fontId="4" fillId="4" borderId="70" xfId="0" applyNumberFormat="1" applyFont="1" applyFill="1" applyBorder="1" applyAlignment="1">
      <alignment horizontal="center"/>
    </xf>
    <xf numFmtId="3" fontId="4" fillId="3" borderId="95" xfId="0" applyNumberFormat="1" applyFont="1" applyFill="1" applyBorder="1"/>
    <xf numFmtId="3" fontId="8" fillId="4" borderId="19" xfId="0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3" fontId="4" fillId="3" borderId="46" xfId="0" applyNumberFormat="1" applyFont="1" applyFill="1" applyBorder="1" applyAlignment="1">
      <alignment horizontal="right"/>
    </xf>
    <xf numFmtId="3" fontId="4" fillId="4" borderId="34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  <xf numFmtId="3" fontId="4" fillId="4" borderId="63" xfId="0" applyNumberFormat="1" applyFont="1" applyFill="1" applyBorder="1" applyAlignment="1">
      <alignment horizontal="center"/>
    </xf>
    <xf numFmtId="3" fontId="4" fillId="0" borderId="96" xfId="0" applyNumberFormat="1" applyFont="1" applyFill="1" applyBorder="1"/>
    <xf numFmtId="3" fontId="4" fillId="3" borderId="65" xfId="0" applyNumberFormat="1" applyFont="1" applyFill="1" applyBorder="1"/>
    <xf numFmtId="3" fontId="4" fillId="3" borderId="67" xfId="0" applyNumberFormat="1" applyFont="1" applyFill="1" applyBorder="1"/>
    <xf numFmtId="3" fontId="4" fillId="0" borderId="31" xfId="0" applyNumberFormat="1" applyFont="1" applyBorder="1"/>
    <xf numFmtId="3" fontId="3" fillId="0" borderId="23" xfId="0" applyNumberFormat="1" applyFont="1" applyFill="1" applyBorder="1" applyAlignment="1">
      <alignment horizontal="center"/>
    </xf>
    <xf numFmtId="3" fontId="4" fillId="0" borderId="18" xfId="0" applyNumberFormat="1" applyFont="1" applyFill="1" applyBorder="1"/>
    <xf numFmtId="3" fontId="4" fillId="0" borderId="26" xfId="0" applyNumberFormat="1" applyFont="1" applyFill="1" applyBorder="1"/>
    <xf numFmtId="3" fontId="3" fillId="0" borderId="77" xfId="0" applyNumberFormat="1" applyFont="1" applyFill="1" applyBorder="1"/>
    <xf numFmtId="3" fontId="3" fillId="0" borderId="86" xfId="0" applyNumberFormat="1" applyFont="1" applyFill="1" applyBorder="1"/>
    <xf numFmtId="3" fontId="3" fillId="0" borderId="88" xfId="0" applyNumberFormat="1" applyFont="1" applyFill="1" applyBorder="1"/>
    <xf numFmtId="3" fontId="4" fillId="0" borderId="71" xfId="0" applyNumberFormat="1" applyFont="1" applyFill="1" applyBorder="1" applyAlignment="1">
      <alignment horizontal="center"/>
    </xf>
    <xf numFmtId="3" fontId="4" fillId="0" borderId="73" xfId="0" applyNumberFormat="1" applyFont="1" applyFill="1" applyBorder="1" applyAlignment="1">
      <alignment horizontal="center"/>
    </xf>
    <xf numFmtId="3" fontId="4" fillId="0" borderId="21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3" fontId="3" fillId="0" borderId="63" xfId="0" applyNumberFormat="1" applyFont="1" applyFill="1" applyBorder="1" applyAlignment="1">
      <alignment horizontal="center"/>
    </xf>
    <xf numFmtId="3" fontId="8" fillId="4" borderId="41" xfId="0" applyNumberFormat="1" applyFont="1" applyFill="1" applyBorder="1" applyAlignment="1" applyProtection="1"/>
    <xf numFmtId="3" fontId="4" fillId="3" borderId="48" xfId="0" applyNumberFormat="1" applyFont="1" applyFill="1" applyBorder="1" applyAlignment="1">
      <alignment horizontal="right"/>
    </xf>
    <xf numFmtId="3" fontId="4" fillId="3" borderId="71" xfId="0" applyNumberFormat="1" applyFont="1" applyFill="1" applyBorder="1" applyAlignment="1">
      <alignment horizontal="center"/>
    </xf>
    <xf numFmtId="3" fontId="4" fillId="3" borderId="73" xfId="0" applyNumberFormat="1" applyFont="1" applyFill="1" applyBorder="1" applyAlignment="1">
      <alignment horizontal="center"/>
    </xf>
    <xf numFmtId="3" fontId="4" fillId="4" borderId="0" xfId="0" applyNumberFormat="1" applyFont="1" applyFill="1"/>
    <xf numFmtId="3" fontId="0" fillId="0" borderId="28" xfId="0" applyNumberFormat="1" applyFill="1" applyBorder="1"/>
    <xf numFmtId="3" fontId="0" fillId="0" borderId="31" xfId="0" applyNumberFormat="1" applyFill="1" applyBorder="1"/>
    <xf numFmtId="3" fontId="4" fillId="3" borderId="65" xfId="0" applyNumberFormat="1" applyFont="1" applyFill="1" applyBorder="1" applyAlignment="1">
      <alignment horizontal="center"/>
    </xf>
    <xf numFmtId="3" fontId="4" fillId="3" borderId="67" xfId="0" applyNumberFormat="1" applyFont="1" applyFill="1" applyBorder="1" applyAlignment="1">
      <alignment horizontal="center"/>
    </xf>
    <xf numFmtId="3" fontId="8" fillId="0" borderId="14" xfId="0" applyNumberFormat="1" applyFont="1" applyFill="1" applyBorder="1"/>
    <xf numFmtId="3" fontId="8" fillId="3" borderId="15" xfId="0" applyNumberFormat="1" applyFont="1" applyFill="1" applyBorder="1"/>
    <xf numFmtId="3" fontId="8" fillId="0" borderId="22" xfId="0" applyNumberFormat="1" applyFont="1" applyFill="1" applyBorder="1"/>
    <xf numFmtId="3" fontId="8" fillId="3" borderId="48" xfId="0" applyNumberFormat="1" applyFont="1" applyFill="1" applyBorder="1"/>
    <xf numFmtId="3" fontId="3" fillId="0" borderId="109" xfId="0" applyNumberFormat="1" applyFont="1" applyBorder="1" applyAlignment="1">
      <alignment horizontal="center"/>
    </xf>
    <xf numFmtId="3" fontId="3" fillId="0" borderId="9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4" borderId="53" xfId="0" applyNumberFormat="1" applyFont="1" applyFill="1" applyBorder="1" applyAlignment="1">
      <alignment horizontal="center"/>
    </xf>
    <xf numFmtId="3" fontId="3" fillId="4" borderId="49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3" fontId="3" fillId="0" borderId="107" xfId="0" applyNumberFormat="1" applyFont="1" applyFill="1" applyBorder="1" applyAlignment="1">
      <alignment horizontal="center"/>
    </xf>
    <xf numFmtId="3" fontId="3" fillId="0" borderId="108" xfId="0" applyNumberFormat="1" applyFont="1" applyFill="1" applyBorder="1" applyAlignment="1">
      <alignment horizontal="center"/>
    </xf>
    <xf numFmtId="3" fontId="3" fillId="0" borderId="91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4" xfId="11"/>
    <cellStyle name="Normal 7" xfId="10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35"/>
  <sheetViews>
    <sheetView zoomScaleNormal="100" zoomScaleSheetLayoutView="100" workbookViewId="0">
      <pane xSplit="1" ySplit="1" topLeftCell="P17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8.85546875" style="1" customWidth="1"/>
    <col min="2" max="2" width="7.7109375" hidden="1" customWidth="1"/>
    <col min="3" max="3" width="10.5703125" hidden="1" customWidth="1"/>
    <col min="4" max="4" width="7.7109375" hidden="1" customWidth="1"/>
    <col min="5" max="5" width="10.570312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285156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8" x14ac:dyDescent="0.25">
      <c r="A1" s="251" t="s">
        <v>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27"/>
      <c r="AE1" s="127"/>
      <c r="AF1" s="127"/>
    </row>
    <row r="2" spans="1:33" ht="15.75" x14ac:dyDescent="0.25">
      <c r="A2" s="251" t="s">
        <v>49</v>
      </c>
      <c r="B2" s="1"/>
      <c r="C2" s="1"/>
      <c r="D2" s="1"/>
      <c r="E2" s="1"/>
      <c r="F2" s="37"/>
      <c r="G2" s="37"/>
      <c r="H2" s="37"/>
      <c r="I2" s="37"/>
    </row>
    <row r="3" spans="1:33" x14ac:dyDescent="0.2">
      <c r="A3" s="16"/>
      <c r="B3" s="1"/>
      <c r="C3" s="1"/>
      <c r="D3" s="1"/>
      <c r="E3" s="1"/>
      <c r="F3" s="37"/>
      <c r="G3" s="37"/>
      <c r="H3" s="37"/>
      <c r="I3" s="37"/>
    </row>
    <row r="4" spans="1:33" ht="15.75" x14ac:dyDescent="0.25">
      <c r="A4" s="252" t="s">
        <v>50</v>
      </c>
      <c r="B4" s="1"/>
      <c r="C4" s="1"/>
      <c r="D4" s="1"/>
      <c r="E4" s="1"/>
      <c r="F4" s="37"/>
      <c r="G4" s="37"/>
      <c r="H4" s="37"/>
      <c r="I4" s="37"/>
    </row>
    <row r="5" spans="1:33" x14ac:dyDescent="0.2">
      <c r="A5" s="16"/>
      <c r="B5" s="3"/>
      <c r="C5" s="3"/>
      <c r="D5" s="3"/>
      <c r="E5" s="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3" x14ac:dyDescent="0.2">
      <c r="A6" s="2" t="s">
        <v>57</v>
      </c>
      <c r="B6" s="3"/>
      <c r="C6" s="3"/>
      <c r="D6" s="3"/>
      <c r="E6" s="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3" x14ac:dyDescent="0.2">
      <c r="A7" s="16"/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45" t="s">
        <v>7</v>
      </c>
      <c r="E9" s="546"/>
      <c r="F9" s="543" t="s">
        <v>20</v>
      </c>
      <c r="G9" s="540"/>
      <c r="H9" s="543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43" t="s">
        <v>56</v>
      </c>
      <c r="AC9" s="544"/>
      <c r="AE9" s="541" t="s">
        <v>27</v>
      </c>
      <c r="AF9" s="542"/>
      <c r="AG9" s="234" t="s">
        <v>46</v>
      </c>
    </row>
    <row r="10" spans="1:33" ht="18" customHeight="1" x14ac:dyDescent="0.2">
      <c r="A10" s="253" t="s">
        <v>8</v>
      </c>
      <c r="B10" s="228"/>
      <c r="C10" s="229"/>
      <c r="D10" s="228"/>
      <c r="E10" s="229"/>
      <c r="F10" s="230"/>
      <c r="G10" s="231"/>
      <c r="H10" s="230"/>
      <c r="I10" s="232"/>
      <c r="J10" s="230"/>
      <c r="K10" s="232"/>
      <c r="L10" s="230"/>
      <c r="M10" s="231"/>
      <c r="N10" s="279"/>
      <c r="O10" s="281"/>
      <c r="P10" s="280"/>
      <c r="Q10" s="281"/>
      <c r="R10" s="280"/>
      <c r="S10" s="281"/>
      <c r="T10" s="280"/>
      <c r="U10" s="281"/>
      <c r="V10" s="232"/>
      <c r="W10" s="281"/>
      <c r="X10" s="280"/>
      <c r="Y10" s="281"/>
      <c r="Z10" s="280"/>
      <c r="AA10" s="281"/>
      <c r="AB10" s="279"/>
      <c r="AC10" s="282"/>
      <c r="AE10" s="248"/>
      <c r="AF10" s="249"/>
      <c r="AG10" s="235"/>
    </row>
    <row r="11" spans="1:33" ht="15" customHeight="1" x14ac:dyDescent="0.2">
      <c r="A11" s="203" t="s">
        <v>9</v>
      </c>
      <c r="B11" s="20"/>
      <c r="C11" s="21"/>
      <c r="D11" s="20"/>
      <c r="E11" s="21"/>
      <c r="F11" s="49"/>
      <c r="G11" s="47"/>
      <c r="H11" s="48"/>
      <c r="I11" s="39"/>
      <c r="J11" s="48"/>
      <c r="K11" s="39"/>
      <c r="L11" s="48"/>
      <c r="M11" s="72"/>
      <c r="N11" s="39"/>
      <c r="O11" s="72"/>
      <c r="P11" s="345"/>
      <c r="Q11" s="346"/>
      <c r="R11" s="345"/>
      <c r="S11" s="346"/>
      <c r="T11" s="345"/>
      <c r="U11" s="346"/>
      <c r="V11" s="347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f>1195922+51987+779800</f>
        <v>2027709</v>
      </c>
      <c r="D12" s="19"/>
      <c r="E12" s="22">
        <f>1278925+744400</f>
        <v>2023325</v>
      </c>
      <c r="F12" s="48"/>
      <c r="G12" s="73">
        <f>1350754+740272</f>
        <v>2091026</v>
      </c>
      <c r="H12" s="39"/>
      <c r="I12" s="76">
        <f>1679345+587333</f>
        <v>2266678</v>
      </c>
      <c r="J12" s="48"/>
      <c r="K12" s="76">
        <f>651730+1779459</f>
        <v>2431189</v>
      </c>
      <c r="L12" s="48"/>
      <c r="M12" s="73">
        <f>1872528+585651</f>
        <v>2458179</v>
      </c>
      <c r="N12" s="39"/>
      <c r="O12" s="73">
        <f>1694534+627450</f>
        <v>2321984</v>
      </c>
      <c r="P12" s="345"/>
      <c r="Q12" s="352">
        <v>2783066</v>
      </c>
      <c r="R12" s="345"/>
      <c r="S12" s="352">
        <v>2823125</v>
      </c>
      <c r="T12" s="345"/>
      <c r="U12" s="352">
        <v>2799961</v>
      </c>
      <c r="V12" s="345"/>
      <c r="W12" s="352">
        <v>2933292</v>
      </c>
      <c r="X12" s="345"/>
      <c r="Y12" s="352">
        <v>3060962</v>
      </c>
      <c r="Z12" s="345"/>
      <c r="AA12" s="352">
        <v>3550466</v>
      </c>
      <c r="AB12" s="345"/>
      <c r="AC12" s="353">
        <f>2012854+3507175</f>
        <v>5520029</v>
      </c>
      <c r="AD12" s="349"/>
      <c r="AE12" s="350"/>
      <c r="AF12" s="351">
        <f>AVERAGE(W12,U12,Y12,AC12,AA12)</f>
        <v>3572942</v>
      </c>
      <c r="AG12" s="237">
        <f>+(AC12-U12)/U12</f>
        <v>0.97146638828183673</v>
      </c>
    </row>
    <row r="13" spans="1:33" ht="15" customHeight="1" x14ac:dyDescent="0.2">
      <c r="A13" s="69" t="s">
        <v>30</v>
      </c>
      <c r="B13" s="19"/>
      <c r="C13" s="22"/>
      <c r="D13" s="19"/>
      <c r="E13" s="22"/>
      <c r="F13" s="48"/>
      <c r="G13" s="73"/>
      <c r="H13" s="39"/>
      <c r="I13" s="76"/>
      <c r="J13" s="48"/>
      <c r="K13" s="76"/>
      <c r="L13" s="48"/>
      <c r="M13" s="73"/>
      <c r="N13" s="39"/>
      <c r="O13" s="73"/>
      <c r="P13" s="345"/>
      <c r="Q13" s="352"/>
      <c r="R13" s="345"/>
      <c r="S13" s="352"/>
      <c r="T13" s="345"/>
      <c r="U13" s="352"/>
      <c r="V13" s="345"/>
      <c r="W13" s="352"/>
      <c r="X13" s="345"/>
      <c r="Y13" s="352"/>
      <c r="Z13" s="345"/>
      <c r="AA13" s="352"/>
      <c r="AB13" s="345"/>
      <c r="AC13" s="353"/>
      <c r="AD13" s="349"/>
      <c r="AE13" s="354"/>
      <c r="AF13" s="351"/>
      <c r="AG13" s="236"/>
    </row>
    <row r="14" spans="1:33" ht="24.75" thickBot="1" x14ac:dyDescent="0.25">
      <c r="A14" s="195" t="s">
        <v>31</v>
      </c>
      <c r="B14" s="196"/>
      <c r="C14" s="197">
        <f>270768+525000</f>
        <v>795768</v>
      </c>
      <c r="D14" s="196"/>
      <c r="E14" s="197">
        <f>278798+525000</f>
        <v>803798</v>
      </c>
      <c r="F14" s="198"/>
      <c r="G14" s="199">
        <f>296985+6255060</f>
        <v>6552045</v>
      </c>
      <c r="H14" s="200"/>
      <c r="I14" s="201">
        <f>539035+6339206</f>
        <v>6878241</v>
      </c>
      <c r="J14" s="198"/>
      <c r="K14" s="201">
        <f>3968131+555345</f>
        <v>4523476</v>
      </c>
      <c r="L14" s="198"/>
      <c r="M14" s="199">
        <f>518551+3966536</f>
        <v>4485087</v>
      </c>
      <c r="N14" s="200"/>
      <c r="O14" s="199">
        <f>4190363+663483</f>
        <v>4853846</v>
      </c>
      <c r="P14" s="355"/>
      <c r="Q14" s="356">
        <v>6676427</v>
      </c>
      <c r="R14" s="355"/>
      <c r="S14" s="356">
        <v>6581388</v>
      </c>
      <c r="T14" s="355"/>
      <c r="U14" s="356">
        <v>6955048</v>
      </c>
      <c r="V14" s="355"/>
      <c r="W14" s="356">
        <v>9095097</v>
      </c>
      <c r="X14" s="355"/>
      <c r="Y14" s="356">
        <v>8408458</v>
      </c>
      <c r="Z14" s="355"/>
      <c r="AA14" s="356">
        <v>8412418</v>
      </c>
      <c r="AB14" s="355"/>
      <c r="AC14" s="357">
        <f>1221375+8119810</f>
        <v>9341185</v>
      </c>
      <c r="AD14" s="349"/>
      <c r="AE14" s="358"/>
      <c r="AF14" s="359">
        <f t="shared" ref="AF14:AF21" si="0">AVERAGE(W14,U14,Y14,AC14,AA14)</f>
        <v>8442441.1999999993</v>
      </c>
      <c r="AG14" s="237">
        <f t="shared" ref="AG14:AG21" si="1">+(AC14-U14)/U14</f>
        <v>0.34307987522156569</v>
      </c>
    </row>
    <row r="15" spans="1:33" ht="18.75" customHeight="1" thickBot="1" x14ac:dyDescent="0.25">
      <c r="A15" s="205" t="s">
        <v>11</v>
      </c>
      <c r="B15" s="206"/>
      <c r="C15" s="207">
        <f>SUM(C12:C14)</f>
        <v>2823477</v>
      </c>
      <c r="D15" s="206"/>
      <c r="E15" s="208">
        <f>SUM(E12:E14)</f>
        <v>2827123</v>
      </c>
      <c r="F15" s="209"/>
      <c r="G15" s="210">
        <f>SUM(G12:G14)</f>
        <v>8643071</v>
      </c>
      <c r="H15" s="211"/>
      <c r="I15" s="212">
        <f>SUM(I12:I14)</f>
        <v>9144919</v>
      </c>
      <c r="J15" s="209"/>
      <c r="K15" s="212">
        <f>SUM(K12:K14)</f>
        <v>6954665</v>
      </c>
      <c r="L15" s="209"/>
      <c r="M15" s="210">
        <f>SUM(M12:M14)</f>
        <v>6943266</v>
      </c>
      <c r="N15" s="211"/>
      <c r="O15" s="210">
        <f>SUM(O12:O14)</f>
        <v>7175830</v>
      </c>
      <c r="P15" s="360"/>
      <c r="Q15" s="361">
        <f>SUM(Q12:Q14)</f>
        <v>9459493</v>
      </c>
      <c r="R15" s="360"/>
      <c r="S15" s="361">
        <f>SUM(S12:S14)</f>
        <v>9404513</v>
      </c>
      <c r="T15" s="360"/>
      <c r="U15" s="361">
        <f>SUM(U12:U14)</f>
        <v>9755009</v>
      </c>
      <c r="V15" s="360"/>
      <c r="W15" s="361">
        <f>SUM(W12:W14)</f>
        <v>12028389</v>
      </c>
      <c r="X15" s="360"/>
      <c r="Y15" s="361">
        <f>SUM(Y12:Y14)</f>
        <v>11469420</v>
      </c>
      <c r="Z15" s="360"/>
      <c r="AA15" s="361">
        <f>SUM(AA12:AA14)</f>
        <v>11962884</v>
      </c>
      <c r="AB15" s="360"/>
      <c r="AC15" s="362">
        <f>SUM(AC12:AC14)</f>
        <v>14861214</v>
      </c>
      <c r="AD15" s="349"/>
      <c r="AE15" s="363"/>
      <c r="AF15" s="364">
        <f t="shared" si="0"/>
        <v>12015383.199999999</v>
      </c>
      <c r="AG15" s="238">
        <f t="shared" si="1"/>
        <v>0.52344441711945111</v>
      </c>
    </row>
    <row r="16" spans="1:33" ht="15" customHeight="1" x14ac:dyDescent="0.2">
      <c r="A16" s="203" t="s">
        <v>12</v>
      </c>
      <c r="B16" s="19"/>
      <c r="C16" s="22"/>
      <c r="D16" s="19"/>
      <c r="E16" s="204"/>
      <c r="F16" s="48"/>
      <c r="G16" s="73"/>
      <c r="H16" s="39"/>
      <c r="I16" s="76"/>
      <c r="J16" s="48"/>
      <c r="K16" s="76"/>
      <c r="L16" s="48"/>
      <c r="M16" s="73"/>
      <c r="N16" s="39"/>
      <c r="O16" s="73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/>
      <c r="D17" s="20"/>
      <c r="E17" s="101"/>
      <c r="F17" s="49"/>
      <c r="G17" s="74"/>
      <c r="H17" s="40"/>
      <c r="I17" s="77"/>
      <c r="J17" s="49"/>
      <c r="K17" s="77"/>
      <c r="L17" s="49"/>
      <c r="M17" s="74"/>
      <c r="N17" s="40"/>
      <c r="O17" s="74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5" customHeight="1" x14ac:dyDescent="0.2">
      <c r="A18" s="69" t="s">
        <v>30</v>
      </c>
      <c r="B18" s="20"/>
      <c r="C18" s="23"/>
      <c r="D18" s="20"/>
      <c r="E18" s="101"/>
      <c r="F18" s="49"/>
      <c r="G18" s="74"/>
      <c r="H18" s="40"/>
      <c r="I18" s="77"/>
      <c r="J18" s="49"/>
      <c r="K18" s="77"/>
      <c r="L18" s="49"/>
      <c r="M18" s="74"/>
      <c r="N18" s="40"/>
      <c r="O18" s="74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4.75" thickBot="1" x14ac:dyDescent="0.25">
      <c r="A19" s="195" t="s">
        <v>31</v>
      </c>
      <c r="B19" s="196"/>
      <c r="C19" s="197"/>
      <c r="D19" s="196"/>
      <c r="E19" s="202"/>
      <c r="F19" s="198"/>
      <c r="G19" s="199">
        <v>768397</v>
      </c>
      <c r="H19" s="200"/>
      <c r="I19" s="201">
        <v>769951</v>
      </c>
      <c r="J19" s="198"/>
      <c r="K19" s="201">
        <v>769541</v>
      </c>
      <c r="L19" s="198"/>
      <c r="M19" s="199">
        <v>769042</v>
      </c>
      <c r="N19" s="200"/>
      <c r="O19" s="199">
        <v>768401</v>
      </c>
      <c r="P19" s="355"/>
      <c r="Q19" s="356">
        <v>769595</v>
      </c>
      <c r="R19" s="355"/>
      <c r="S19" s="356">
        <v>769292</v>
      </c>
      <c r="T19" s="355"/>
      <c r="U19" s="356">
        <v>769049</v>
      </c>
      <c r="V19" s="355"/>
      <c r="W19" s="356">
        <v>767337</v>
      </c>
      <c r="X19" s="355"/>
      <c r="Y19" s="356">
        <v>766775</v>
      </c>
      <c r="Z19" s="355"/>
      <c r="AA19" s="356">
        <v>911789</v>
      </c>
      <c r="AB19" s="355"/>
      <c r="AC19" s="357">
        <v>909243</v>
      </c>
      <c r="AD19" s="349"/>
      <c r="AE19" s="358"/>
      <c r="AF19" s="351">
        <f t="shared" si="0"/>
        <v>824838.6</v>
      </c>
      <c r="AG19" s="237">
        <f t="shared" si="1"/>
        <v>0.18229527637380713</v>
      </c>
    </row>
    <row r="20" spans="1:33" ht="18.75" customHeight="1" thickBot="1" x14ac:dyDescent="0.25">
      <c r="A20" s="205" t="s">
        <v>13</v>
      </c>
      <c r="B20" s="206"/>
      <c r="C20" s="207">
        <f>SUM(C17:C19)</f>
        <v>0</v>
      </c>
      <c r="D20" s="206"/>
      <c r="E20" s="208">
        <f>SUM(E17:E19)</f>
        <v>0</v>
      </c>
      <c r="F20" s="209"/>
      <c r="G20" s="210">
        <f>SUM(G17:G19)</f>
        <v>768397</v>
      </c>
      <c r="H20" s="211"/>
      <c r="I20" s="212">
        <f>SUM(I17:I19)</f>
        <v>769951</v>
      </c>
      <c r="J20" s="209"/>
      <c r="K20" s="212">
        <f>SUM(K17:K19)</f>
        <v>769541</v>
      </c>
      <c r="L20" s="209"/>
      <c r="M20" s="210">
        <f>SUM(M17:M19)</f>
        <v>769042</v>
      </c>
      <c r="N20" s="211"/>
      <c r="O20" s="210">
        <f>SUM(O17:O19)</f>
        <v>768401</v>
      </c>
      <c r="P20" s="360"/>
      <c r="Q20" s="361">
        <f>SUM(Q17:Q19)</f>
        <v>769595</v>
      </c>
      <c r="R20" s="360"/>
      <c r="S20" s="361">
        <f>SUM(S17:S19)</f>
        <v>769292</v>
      </c>
      <c r="T20" s="360"/>
      <c r="U20" s="361">
        <f>SUM(U17:U19)</f>
        <v>769049</v>
      </c>
      <c r="V20" s="360"/>
      <c r="W20" s="361">
        <f>SUM(W17:W19)</f>
        <v>767337</v>
      </c>
      <c r="X20" s="360"/>
      <c r="Y20" s="361">
        <f>SUM(Y17:Y19)</f>
        <v>766775</v>
      </c>
      <c r="Z20" s="360"/>
      <c r="AA20" s="361">
        <f>SUM(AA17:AA19)</f>
        <v>911789</v>
      </c>
      <c r="AB20" s="360"/>
      <c r="AC20" s="362">
        <f>SUM(AC17:AC19)</f>
        <v>909243</v>
      </c>
      <c r="AD20" s="349"/>
      <c r="AE20" s="363"/>
      <c r="AF20" s="364">
        <f t="shared" si="0"/>
        <v>824838.6</v>
      </c>
      <c r="AG20" s="238">
        <f t="shared" si="1"/>
        <v>0.18229527637380713</v>
      </c>
    </row>
    <row r="21" spans="1:33" ht="18.75" customHeight="1" thickBot="1" x14ac:dyDescent="0.25">
      <c r="A21" s="227" t="s">
        <v>14</v>
      </c>
      <c r="B21" s="217"/>
      <c r="C21" s="218">
        <f>SUM(C15,C20)</f>
        <v>2823477</v>
      </c>
      <c r="D21" s="217"/>
      <c r="E21" s="219">
        <f>SUM(E15,E20)</f>
        <v>2827123</v>
      </c>
      <c r="F21" s="220"/>
      <c r="G21" s="221">
        <f>SUM(G15,G20)</f>
        <v>9411468</v>
      </c>
      <c r="H21" s="222"/>
      <c r="I21" s="223">
        <f>SUM(I15,I20)</f>
        <v>9914870</v>
      </c>
      <c r="J21" s="220"/>
      <c r="K21" s="223">
        <f>SUM(K15,K20)</f>
        <v>7724206</v>
      </c>
      <c r="L21" s="220"/>
      <c r="M21" s="221">
        <f>SUM(M15,M20)</f>
        <v>7712308</v>
      </c>
      <c r="N21" s="222"/>
      <c r="O21" s="221">
        <f>SUM(O15,O20)</f>
        <v>7944231</v>
      </c>
      <c r="P21" s="370"/>
      <c r="Q21" s="371">
        <f>SUM(Q15,Q20)</f>
        <v>10229088</v>
      </c>
      <c r="R21" s="370"/>
      <c r="S21" s="371">
        <f>SUM(S15,S20)</f>
        <v>10173805</v>
      </c>
      <c r="T21" s="370"/>
      <c r="U21" s="371">
        <f>SUM(U15,U20)</f>
        <v>10524058</v>
      </c>
      <c r="V21" s="370"/>
      <c r="W21" s="371">
        <f>SUM(W15,W20)</f>
        <v>12795726</v>
      </c>
      <c r="X21" s="370"/>
      <c r="Y21" s="371">
        <f>SUM(Y15,Y20)</f>
        <v>12236195</v>
      </c>
      <c r="Z21" s="370"/>
      <c r="AA21" s="371">
        <f>SUM(AA15,AA20)</f>
        <v>12874673</v>
      </c>
      <c r="AB21" s="370"/>
      <c r="AC21" s="372">
        <f>SUM(AC15,AC20)</f>
        <v>15770457</v>
      </c>
      <c r="AD21" s="349"/>
      <c r="AE21" s="373"/>
      <c r="AF21" s="374">
        <f t="shared" si="0"/>
        <v>12840221.800000001</v>
      </c>
      <c r="AG21" s="242">
        <f t="shared" si="1"/>
        <v>0.4985148314461969</v>
      </c>
    </row>
    <row r="22" spans="1:33" ht="18" customHeight="1" thickBot="1" x14ac:dyDescent="0.25">
      <c r="A22" s="213" t="s">
        <v>38</v>
      </c>
      <c r="B22" s="19"/>
      <c r="C22" s="214"/>
      <c r="D22" s="19"/>
      <c r="E22" s="215"/>
      <c r="F22" s="547" t="s">
        <v>20</v>
      </c>
      <c r="G22" s="548"/>
      <c r="H22" s="547" t="s">
        <v>22</v>
      </c>
      <c r="I22" s="549"/>
      <c r="J22" s="547" t="s">
        <v>23</v>
      </c>
      <c r="K22" s="549"/>
      <c r="L22" s="550"/>
      <c r="M22" s="551"/>
      <c r="N22" s="552"/>
      <c r="O22" s="551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5"/>
      <c r="AC22" s="536"/>
      <c r="AD22" s="349"/>
      <c r="AE22" s="527"/>
      <c r="AF22" s="528"/>
      <c r="AG22" s="243"/>
    </row>
    <row r="23" spans="1:33" ht="15" customHeight="1" x14ac:dyDescent="0.2">
      <c r="A23" s="69" t="s">
        <v>41</v>
      </c>
      <c r="B23" s="24"/>
      <c r="C23" s="25">
        <f>49723+155440</f>
        <v>205163</v>
      </c>
      <c r="D23" s="24"/>
      <c r="E23" s="94">
        <v>133228</v>
      </c>
      <c r="F23" s="53"/>
      <c r="G23" s="99">
        <v>35828.120000000003</v>
      </c>
      <c r="H23" s="107"/>
      <c r="I23" s="107">
        <v>28826.71</v>
      </c>
      <c r="J23" s="53"/>
      <c r="K23" s="65">
        <v>55632</v>
      </c>
      <c r="L23" s="56"/>
      <c r="M23" s="224">
        <v>46392</v>
      </c>
      <c r="N23" s="45"/>
      <c r="O23" s="225">
        <v>41852</v>
      </c>
      <c r="P23" s="345"/>
      <c r="Q23" s="375">
        <v>34379</v>
      </c>
      <c r="R23" s="345"/>
      <c r="S23" s="375">
        <v>31328</v>
      </c>
      <c r="T23" s="345"/>
      <c r="U23" s="375">
        <v>36544</v>
      </c>
      <c r="V23" s="345"/>
      <c r="W23" s="375">
        <v>35109.65</v>
      </c>
      <c r="X23" s="345"/>
      <c r="Y23" s="375">
        <v>29986</v>
      </c>
      <c r="Z23" s="345"/>
      <c r="AA23" s="375">
        <v>22723</v>
      </c>
      <c r="AB23" s="376"/>
      <c r="AC23" s="377"/>
      <c r="AD23" s="349"/>
      <c r="AE23" s="350"/>
      <c r="AF23" s="351">
        <f>AVERAGE(U23,AA23,S23,W23,Y23)</f>
        <v>31138.129999999997</v>
      </c>
      <c r="AG23" s="237">
        <f>+(AA23-S23)/S23</f>
        <v>-0.27467441266598569</v>
      </c>
    </row>
    <row r="24" spans="1:33" ht="15" customHeight="1" thickBot="1" x14ac:dyDescent="0.25">
      <c r="A24" s="69" t="s">
        <v>39</v>
      </c>
      <c r="B24" s="30"/>
      <c r="C24" s="139"/>
      <c r="D24" s="30"/>
      <c r="E24" s="167"/>
      <c r="F24" s="53"/>
      <c r="G24" s="99">
        <v>107021.57</v>
      </c>
      <c r="H24" s="107"/>
      <c r="I24" s="107">
        <v>284989.49</v>
      </c>
      <c r="J24" s="53"/>
      <c r="K24" s="65">
        <v>368683.17</v>
      </c>
      <c r="L24" s="53"/>
      <c r="M24" s="66">
        <v>556231.64</v>
      </c>
      <c r="N24" s="42"/>
      <c r="O24" s="135">
        <v>302458.11</v>
      </c>
      <c r="P24" s="367"/>
      <c r="Q24" s="378">
        <v>47420.32</v>
      </c>
      <c r="R24" s="367"/>
      <c r="S24" s="378">
        <v>108669.67</v>
      </c>
      <c r="T24" s="367"/>
      <c r="U24" s="378">
        <v>15544.14</v>
      </c>
      <c r="V24" s="367"/>
      <c r="W24" s="378">
        <v>14915.36</v>
      </c>
      <c r="X24" s="367"/>
      <c r="Y24" s="378">
        <v>18644</v>
      </c>
      <c r="Z24" s="367"/>
      <c r="AA24" s="378">
        <v>10725</v>
      </c>
      <c r="AB24" s="379"/>
      <c r="AC24" s="377"/>
      <c r="AD24" s="349"/>
      <c r="AE24" s="350"/>
      <c r="AF24" s="351">
        <f t="shared" ref="AF24:AF25" si="2">AVERAGE(U24,AA24,S24,W24,Y24)</f>
        <v>33699.633999999998</v>
      </c>
      <c r="AG24" s="237">
        <f t="shared" ref="AG24" si="3">+(AA24-S24)/S24</f>
        <v>-0.90130640867870493</v>
      </c>
    </row>
    <row r="25" spans="1:33" ht="15" customHeight="1" thickTop="1" thickBot="1" x14ac:dyDescent="0.25">
      <c r="A25" s="71" t="s">
        <v>40</v>
      </c>
      <c r="B25" s="174"/>
      <c r="C25" s="179"/>
      <c r="D25" s="174"/>
      <c r="E25" s="180"/>
      <c r="F25" s="129"/>
      <c r="G25" s="181">
        <v>0</v>
      </c>
      <c r="H25" s="182"/>
      <c r="I25" s="140">
        <v>0</v>
      </c>
      <c r="J25" s="182"/>
      <c r="K25" s="140">
        <v>0</v>
      </c>
      <c r="L25" s="182"/>
      <c r="M25" s="140">
        <v>0</v>
      </c>
      <c r="N25" s="182"/>
      <c r="O25" s="140">
        <v>0</v>
      </c>
      <c r="P25" s="382"/>
      <c r="Q25" s="383">
        <v>0</v>
      </c>
      <c r="R25" s="382"/>
      <c r="S25" s="383">
        <v>0</v>
      </c>
      <c r="T25" s="382"/>
      <c r="U25" s="383">
        <v>0</v>
      </c>
      <c r="V25" s="382"/>
      <c r="W25" s="383">
        <v>0</v>
      </c>
      <c r="X25" s="382"/>
      <c r="Y25" s="383">
        <v>0</v>
      </c>
      <c r="Z25" s="382"/>
      <c r="AA25" s="383"/>
      <c r="AB25" s="384"/>
      <c r="AC25" s="385"/>
      <c r="AD25" s="349"/>
      <c r="AE25" s="386"/>
      <c r="AF25" s="351">
        <f t="shared" si="2"/>
        <v>0</v>
      </c>
      <c r="AG25" s="237"/>
    </row>
    <row r="26" spans="1:33" ht="18" customHeight="1" thickTop="1" x14ac:dyDescent="0.2">
      <c r="A26" s="119" t="s">
        <v>43</v>
      </c>
      <c r="B26" s="142" t="s">
        <v>18</v>
      </c>
      <c r="C26" s="143" t="s">
        <v>19</v>
      </c>
      <c r="D26" s="142" t="s">
        <v>18</v>
      </c>
      <c r="E26" s="143" t="s">
        <v>19</v>
      </c>
      <c r="F26" s="142" t="s">
        <v>18</v>
      </c>
      <c r="G26" s="143" t="s">
        <v>19</v>
      </c>
      <c r="H26" s="142" t="s">
        <v>18</v>
      </c>
      <c r="I26" s="143" t="s">
        <v>19</v>
      </c>
      <c r="J26" s="147" t="s">
        <v>18</v>
      </c>
      <c r="K26" s="146" t="s">
        <v>19</v>
      </c>
      <c r="L26" s="192" t="s">
        <v>18</v>
      </c>
      <c r="M26" s="193" t="s">
        <v>19</v>
      </c>
      <c r="N26" s="194" t="s">
        <v>18</v>
      </c>
      <c r="O26" s="193" t="s">
        <v>19</v>
      </c>
      <c r="P26" s="387" t="s">
        <v>18</v>
      </c>
      <c r="Q26" s="388" t="s">
        <v>19</v>
      </c>
      <c r="R26" s="387" t="s">
        <v>18</v>
      </c>
      <c r="S26" s="388" t="s">
        <v>19</v>
      </c>
      <c r="T26" s="387" t="s">
        <v>18</v>
      </c>
      <c r="U26" s="388" t="s">
        <v>19</v>
      </c>
      <c r="V26" s="387" t="s">
        <v>18</v>
      </c>
      <c r="W26" s="388" t="s">
        <v>19</v>
      </c>
      <c r="X26" s="387" t="s">
        <v>18</v>
      </c>
      <c r="Y26" s="388" t="s">
        <v>19</v>
      </c>
      <c r="Z26" s="387" t="s">
        <v>18</v>
      </c>
      <c r="AA26" s="388" t="s">
        <v>19</v>
      </c>
      <c r="AB26" s="389" t="s">
        <v>18</v>
      </c>
      <c r="AC26" s="390" t="s">
        <v>19</v>
      </c>
      <c r="AD26" s="391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44</v>
      </c>
      <c r="B27" s="63">
        <v>1</v>
      </c>
      <c r="C27" s="26">
        <v>105617</v>
      </c>
      <c r="D27" s="63">
        <v>3</v>
      </c>
      <c r="E27" s="121">
        <v>469028</v>
      </c>
      <c r="F27" s="87">
        <v>1</v>
      </c>
      <c r="G27" s="94">
        <v>357878</v>
      </c>
      <c r="H27" s="97">
        <v>3</v>
      </c>
      <c r="I27" s="92">
        <v>544294</v>
      </c>
      <c r="J27" s="87">
        <v>0</v>
      </c>
      <c r="K27" s="136">
        <v>0</v>
      </c>
      <c r="L27" s="186">
        <v>0</v>
      </c>
      <c r="M27" s="187">
        <v>0</v>
      </c>
      <c r="N27" s="186">
        <v>5</v>
      </c>
      <c r="O27" s="191">
        <v>1712795</v>
      </c>
      <c r="P27" s="394">
        <v>2</v>
      </c>
      <c r="Q27" s="395">
        <v>166105</v>
      </c>
      <c r="R27" s="394">
        <v>3</v>
      </c>
      <c r="S27" s="395">
        <v>363096</v>
      </c>
      <c r="T27" s="394">
        <v>3</v>
      </c>
      <c r="U27" s="395">
        <v>231951</v>
      </c>
      <c r="V27" s="394">
        <v>1</v>
      </c>
      <c r="W27" s="395">
        <v>26532</v>
      </c>
      <c r="X27" s="394">
        <v>1</v>
      </c>
      <c r="Y27" s="395">
        <v>3500000</v>
      </c>
      <c r="Z27" s="394">
        <v>2</v>
      </c>
      <c r="AA27" s="395">
        <v>24773</v>
      </c>
      <c r="AB27" s="396"/>
      <c r="AC27" s="397"/>
      <c r="AD27" s="349"/>
      <c r="AE27" s="283">
        <f>AVERAGE(T27,R27,Z27,X27,V27)</f>
        <v>2</v>
      </c>
      <c r="AF27" s="398">
        <f t="shared" ref="AF27:AF28" si="4">AVERAGE(U27,AA27,S27,W27,Y27)</f>
        <v>829270.4</v>
      </c>
      <c r="AG27" s="237">
        <f t="shared" ref="AG27:AG28" si="5">+(AA27-S27)/S27</f>
        <v>-0.93177286447661223</v>
      </c>
    </row>
    <row r="28" spans="1:33" ht="15" customHeight="1" thickBot="1" x14ac:dyDescent="0.25">
      <c r="A28" s="71" t="s">
        <v>45</v>
      </c>
      <c r="B28" s="148">
        <v>2</v>
      </c>
      <c r="C28" s="34">
        <v>53748</v>
      </c>
      <c r="D28" s="148">
        <v>2</v>
      </c>
      <c r="E28" s="102">
        <v>29180</v>
      </c>
      <c r="F28" s="158">
        <v>3</v>
      </c>
      <c r="G28" s="170">
        <v>934076</v>
      </c>
      <c r="H28" s="163">
        <v>7</v>
      </c>
      <c r="I28" s="171">
        <v>1689540</v>
      </c>
      <c r="J28" s="153">
        <v>2</v>
      </c>
      <c r="K28" s="171">
        <v>11424</v>
      </c>
      <c r="L28" s="188">
        <v>2</v>
      </c>
      <c r="M28" s="189">
        <v>16599</v>
      </c>
      <c r="N28" s="188">
        <v>2</v>
      </c>
      <c r="O28" s="189">
        <v>323884</v>
      </c>
      <c r="P28" s="311">
        <v>2</v>
      </c>
      <c r="Q28" s="399">
        <v>20106</v>
      </c>
      <c r="R28" s="311">
        <v>3</v>
      </c>
      <c r="S28" s="399">
        <v>3862252</v>
      </c>
      <c r="T28" s="311">
        <v>4</v>
      </c>
      <c r="U28" s="399">
        <v>7045581</v>
      </c>
      <c r="V28" s="311">
        <v>2</v>
      </c>
      <c r="W28" s="399">
        <v>200378</v>
      </c>
      <c r="X28" s="311">
        <v>1</v>
      </c>
      <c r="Y28" s="399">
        <v>75000</v>
      </c>
      <c r="Z28" s="311">
        <v>3</v>
      </c>
      <c r="AA28" s="399">
        <v>1405000</v>
      </c>
      <c r="AB28" s="400"/>
      <c r="AC28" s="401"/>
      <c r="AD28" s="349"/>
      <c r="AE28" s="283">
        <f>AVERAGE(T28,R28,Z28,X28,V28)</f>
        <v>2.6</v>
      </c>
      <c r="AF28" s="402">
        <f t="shared" si="4"/>
        <v>2517642.2000000002</v>
      </c>
      <c r="AG28" s="237">
        <f t="shared" si="5"/>
        <v>-0.63622259759332123</v>
      </c>
    </row>
    <row r="29" spans="1:33" ht="18" customHeight="1" thickTop="1" thickBot="1" x14ac:dyDescent="0.25">
      <c r="A29" s="119" t="s">
        <v>15</v>
      </c>
      <c r="B29" s="168"/>
      <c r="C29" s="169"/>
      <c r="D29" s="168"/>
      <c r="E29" s="166"/>
      <c r="F29" s="543" t="s">
        <v>20</v>
      </c>
      <c r="G29" s="540"/>
      <c r="H29" s="543" t="s">
        <v>22</v>
      </c>
      <c r="I29" s="539"/>
      <c r="J29" s="543" t="s">
        <v>23</v>
      </c>
      <c r="K29" s="539"/>
      <c r="L29" s="553"/>
      <c r="M29" s="554"/>
      <c r="N29" s="555"/>
      <c r="O29" s="55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7"/>
      <c r="AC29" s="538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>
        <f>550+3356563.89+107335</f>
        <v>3464448.89</v>
      </c>
      <c r="D30" s="28"/>
      <c r="E30" s="33">
        <f>3201394.26+525+79020</f>
        <v>3280939.26</v>
      </c>
      <c r="F30" s="56"/>
      <c r="G30" s="103">
        <f>1569982.84+1600+67950</f>
        <v>1639532.84</v>
      </c>
      <c r="H30" s="85"/>
      <c r="I30" s="106">
        <f>2740762.26+5050+111619.7</f>
        <v>2857431.96</v>
      </c>
      <c r="J30" s="56"/>
      <c r="K30" s="106">
        <f>3304743.52+3500+94690</f>
        <v>3402933.52</v>
      </c>
      <c r="L30" s="56"/>
      <c r="M30" s="96">
        <f>2246597+2725+92055+165345</f>
        <v>2506722</v>
      </c>
      <c r="N30" s="45"/>
      <c r="O30" s="96">
        <f>2653868+2700+85090+387102</f>
        <v>3128760</v>
      </c>
      <c r="P30" s="345"/>
      <c r="Q30" s="403">
        <f>3555324.16+2500+84300+82758.77</f>
        <v>3724882.93</v>
      </c>
      <c r="R30" s="345"/>
      <c r="S30" s="403">
        <f>1300+3706045.37+8250+122060+85000</f>
        <v>3922655.37</v>
      </c>
      <c r="T30" s="345"/>
      <c r="U30" s="403">
        <f>1350+3896934.22+527799.6+102285</f>
        <v>4528368.82</v>
      </c>
      <c r="V30" s="345"/>
      <c r="W30" s="403">
        <f>1250+2726314.66+29501.22+128500</f>
        <v>2885565.8800000004</v>
      </c>
      <c r="X30" s="345"/>
      <c r="Y30" s="403">
        <f>1000+5388518.26+82699.81+82553</f>
        <v>5554771.0699999994</v>
      </c>
      <c r="Z30" s="345"/>
      <c r="AA30" s="403">
        <v>6992810</v>
      </c>
      <c r="AB30" s="404"/>
      <c r="AC30" s="405"/>
      <c r="AD30" s="349"/>
      <c r="AE30" s="350"/>
      <c r="AF30" s="406">
        <f t="shared" ref="AF30:AF31" si="6">AVERAGE(U30,AA30,S30,W30,Y30)</f>
        <v>4776834.2280000001</v>
      </c>
      <c r="AG30" s="245">
        <f t="shared" ref="AG30:AG31" si="7">+(AA30-S30)/S30</f>
        <v>0.78267253694529881</v>
      </c>
    </row>
    <row r="31" spans="1:33" ht="15" customHeight="1" thickBot="1" x14ac:dyDescent="0.25">
      <c r="A31" s="71" t="s">
        <v>17</v>
      </c>
      <c r="B31" s="30"/>
      <c r="C31" s="34">
        <v>2600172.61</v>
      </c>
      <c r="D31" s="30"/>
      <c r="E31" s="102">
        <v>2975364.33</v>
      </c>
      <c r="F31" s="57"/>
      <c r="G31" s="102">
        <v>3220129.29</v>
      </c>
      <c r="H31" s="86"/>
      <c r="I31" s="117">
        <v>3615768.14</v>
      </c>
      <c r="J31" s="89"/>
      <c r="K31" s="117">
        <v>3479063</v>
      </c>
      <c r="L31" s="89"/>
      <c r="M31" s="130">
        <v>4173059.75</v>
      </c>
      <c r="N31" s="129"/>
      <c r="O31" s="130">
        <v>5412284</v>
      </c>
      <c r="P31" s="407"/>
      <c r="Q31" s="408">
        <v>6627311.9000000004</v>
      </c>
      <c r="R31" s="407"/>
      <c r="S31" s="408">
        <v>5886017.6200000001</v>
      </c>
      <c r="T31" s="407"/>
      <c r="U31" s="408">
        <v>5610193.1600000001</v>
      </c>
      <c r="V31" s="407"/>
      <c r="W31" s="408">
        <v>6957169.2599999998</v>
      </c>
      <c r="X31" s="407"/>
      <c r="Y31" s="408">
        <v>8113848.3499999996</v>
      </c>
      <c r="Z31" s="407"/>
      <c r="AA31" s="408">
        <v>8007772</v>
      </c>
      <c r="AB31" s="409"/>
      <c r="AC31" s="410"/>
      <c r="AD31" s="349"/>
      <c r="AE31" s="386"/>
      <c r="AF31" s="411">
        <f t="shared" si="6"/>
        <v>6915000.0779999997</v>
      </c>
      <c r="AG31" s="247">
        <f t="shared" si="7"/>
        <v>0.36047367116104551</v>
      </c>
    </row>
    <row r="32" spans="1:33" ht="15" customHeight="1" thickTop="1" x14ac:dyDescent="0.2">
      <c r="A32" s="3" t="s">
        <v>25</v>
      </c>
      <c r="B32" s="1"/>
      <c r="C32" s="1"/>
      <c r="D32" s="1"/>
      <c r="E32" s="1"/>
      <c r="F32" s="1"/>
      <c r="G32" s="37"/>
      <c r="H32" s="37"/>
      <c r="I32" s="37"/>
      <c r="J32" s="37"/>
      <c r="K32" s="37"/>
      <c r="L32" s="37"/>
      <c r="M32" s="37"/>
      <c r="N32" s="37"/>
      <c r="O32" s="37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349"/>
      <c r="AE32" s="349"/>
      <c r="AF32" s="349"/>
    </row>
    <row r="35" spans="19:19" x14ac:dyDescent="0.2">
      <c r="S35" s="1" t="s">
        <v>2</v>
      </c>
    </row>
  </sheetData>
  <mergeCells count="41">
    <mergeCell ref="F29:G29"/>
    <mergeCell ref="H29:I29"/>
    <mergeCell ref="J29:K29"/>
    <mergeCell ref="L29:M29"/>
    <mergeCell ref="N29:O29"/>
    <mergeCell ref="F22:G22"/>
    <mergeCell ref="H22:I22"/>
    <mergeCell ref="J22:K22"/>
    <mergeCell ref="L22:M22"/>
    <mergeCell ref="N22:O22"/>
    <mergeCell ref="B9:C9"/>
    <mergeCell ref="R9:S9"/>
    <mergeCell ref="H9:I9"/>
    <mergeCell ref="D9:E9"/>
    <mergeCell ref="N9:O9"/>
    <mergeCell ref="L9:M9"/>
    <mergeCell ref="F9:G9"/>
    <mergeCell ref="J9:K9"/>
    <mergeCell ref="Z9:AA9"/>
    <mergeCell ref="T9:U9"/>
    <mergeCell ref="AE9:AF9"/>
    <mergeCell ref="P9:Q9"/>
    <mergeCell ref="X9:Y9"/>
    <mergeCell ref="V9:W9"/>
    <mergeCell ref="AB9:AC9"/>
    <mergeCell ref="AE22:AF22"/>
    <mergeCell ref="AE29:AF29"/>
    <mergeCell ref="P22:Q22"/>
    <mergeCell ref="R22:S22"/>
    <mergeCell ref="T22:U22"/>
    <mergeCell ref="V22:W22"/>
    <mergeCell ref="X22:Y22"/>
    <mergeCell ref="Z22:AA22"/>
    <mergeCell ref="P29:Q29"/>
    <mergeCell ref="R29:S29"/>
    <mergeCell ref="T29:U29"/>
    <mergeCell ref="V29:W29"/>
    <mergeCell ref="X29:Y29"/>
    <mergeCell ref="Z29:AA29"/>
    <mergeCell ref="AB22:AC22"/>
    <mergeCell ref="AB29:AC29"/>
  </mergeCells>
  <phoneticPr fontId="0" type="noConversion"/>
  <printOptions horizontalCentered="1" verticalCentered="1"/>
  <pageMargins left="0.23" right="0.33" top="0.5" bottom="0.84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G33"/>
  <sheetViews>
    <sheetView tabSelected="1" zoomScaleNormal="100" zoomScaleSheetLayoutView="100" workbookViewId="0">
      <pane xSplit="1" ySplit="1" topLeftCell="B2" activePane="bottomRight" state="frozen"/>
      <selection activeCell="W1" sqref="W1:Z1048576"/>
      <selection pane="topRight" activeCell="W1" sqref="W1:Z1048576"/>
      <selection pane="bottomLeft" activeCell="W1" sqref="W1:Z1048576"/>
      <selection pane="bottomRight" activeCell="N1" sqref="N1:Q1048576"/>
    </sheetView>
  </sheetViews>
  <sheetFormatPr defaultColWidth="10.28515625" defaultRowHeight="12.75" x14ac:dyDescent="0.2"/>
  <cols>
    <col min="1" max="1" width="33.42578125" style="1" customWidth="1"/>
    <col min="2" max="2" width="7.7109375" hidden="1" customWidth="1"/>
    <col min="3" max="3" width="10.7109375" hidden="1" customWidth="1"/>
    <col min="4" max="4" width="7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1.28515625" style="1" hidden="1" customWidth="1"/>
    <col min="14" max="14" width="4.7109375" style="1" hidden="1" customWidth="1"/>
    <col min="15" max="15" width="11.28515625" style="1" hidden="1" customWidth="1"/>
    <col min="16" max="16" width="4.7109375" style="1" hidden="1" customWidth="1"/>
    <col min="17" max="17" width="11.28515625" style="1" hidden="1" customWidth="1"/>
    <col min="18" max="18" width="4.7109375" style="1" customWidth="1"/>
    <col min="19" max="19" width="11.28515625" style="1" bestFit="1" customWidth="1"/>
    <col min="20" max="20" width="4.7109375" style="1" customWidth="1"/>
    <col min="21" max="21" width="11.28515625" style="1" bestFit="1" customWidth="1"/>
    <col min="22" max="22" width="4.7109375" style="1" customWidth="1"/>
    <col min="23" max="23" width="11.28515625" style="1" bestFit="1" customWidth="1"/>
    <col min="24" max="24" width="4.7109375" style="1" customWidth="1"/>
    <col min="25" max="25" width="11.42578125" style="1" bestFit="1" customWidth="1"/>
    <col min="26" max="26" width="4.7109375" style="1" customWidth="1"/>
    <col min="27" max="27" width="11.42578125" style="1" bestFit="1" customWidth="1"/>
    <col min="28" max="28" width="4.7109375" style="1" customWidth="1"/>
    <col min="29" max="29" width="10.7109375" style="1" customWidth="1"/>
    <col min="30" max="30" width="2.8554687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8" x14ac:dyDescent="0.25">
      <c r="A1" s="251" t="s">
        <v>48</v>
      </c>
      <c r="B1" s="124"/>
      <c r="C1" s="124"/>
      <c r="D1" s="124"/>
      <c r="E1" s="124"/>
      <c r="F1" s="124"/>
      <c r="G1" s="124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8" x14ac:dyDescent="0.25">
      <c r="A2" s="251" t="s">
        <v>49</v>
      </c>
      <c r="B2" s="124"/>
      <c r="C2" s="124"/>
      <c r="D2" s="124"/>
      <c r="E2" s="124"/>
      <c r="F2" s="124"/>
      <c r="G2" s="124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ht="18" x14ac:dyDescent="0.25">
      <c r="A3" s="16"/>
      <c r="B3" s="124"/>
      <c r="C3" s="124"/>
      <c r="D3" s="124"/>
      <c r="E3" s="124"/>
      <c r="F3" s="124"/>
      <c r="G3" s="124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3" ht="15.75" x14ac:dyDescent="0.25">
      <c r="A4" s="252" t="s">
        <v>50</v>
      </c>
      <c r="B4" s="1"/>
      <c r="C4" s="1"/>
      <c r="D4" s="1"/>
      <c r="E4" s="1"/>
      <c r="F4" s="37"/>
      <c r="G4" s="37"/>
      <c r="H4" s="37"/>
      <c r="I4" s="37"/>
    </row>
    <row r="5" spans="1:33" s="3" customFormat="1" x14ac:dyDescent="0.2">
      <c r="A5" s="16"/>
      <c r="F5" s="13"/>
      <c r="G5" s="13"/>
      <c r="H5" s="13"/>
      <c r="I5" s="13"/>
      <c r="AG5" s="1"/>
    </row>
    <row r="6" spans="1:33" x14ac:dyDescent="0.2">
      <c r="A6" s="332" t="s">
        <v>55</v>
      </c>
      <c r="B6" s="14"/>
      <c r="C6" s="159"/>
      <c r="D6" s="14"/>
      <c r="E6" s="159"/>
      <c r="F6" s="79"/>
      <c r="G6" s="80"/>
      <c r="H6" s="79"/>
      <c r="I6" s="80"/>
      <c r="J6" s="79"/>
      <c r="K6" s="80"/>
      <c r="L6" s="79"/>
      <c r="M6" s="80"/>
      <c r="N6" s="79"/>
      <c r="O6" s="80"/>
      <c r="P6" s="79"/>
      <c r="Q6" s="80"/>
      <c r="R6" s="79"/>
      <c r="S6" s="80"/>
      <c r="T6" s="79"/>
      <c r="U6" s="80"/>
      <c r="V6" s="79"/>
      <c r="W6" s="80"/>
      <c r="X6" s="79"/>
      <c r="Y6" s="80"/>
      <c r="Z6" s="79"/>
      <c r="AA6" s="80"/>
      <c r="AB6" s="79"/>
      <c r="AC6" s="80"/>
    </row>
    <row r="7" spans="1:33" x14ac:dyDescent="0.2">
      <c r="A7" s="343" t="s">
        <v>58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25.5" thickTop="1" thickBot="1" x14ac:dyDescent="0.25">
      <c r="A9" s="67"/>
      <c r="B9" s="545" t="s">
        <v>6</v>
      </c>
      <c r="C9" s="546"/>
      <c r="D9" s="558" t="s">
        <v>7</v>
      </c>
      <c r="E9" s="558"/>
      <c r="F9" s="576" t="s">
        <v>20</v>
      </c>
      <c r="G9" s="575"/>
      <c r="H9" s="556" t="s">
        <v>22</v>
      </c>
      <c r="I9" s="556"/>
      <c r="J9" s="576" t="s">
        <v>23</v>
      </c>
      <c r="K9" s="556"/>
      <c r="L9" s="576" t="s">
        <v>24</v>
      </c>
      <c r="M9" s="575"/>
      <c r="N9" s="556" t="s">
        <v>28</v>
      </c>
      <c r="O9" s="575"/>
      <c r="P9" s="556" t="s">
        <v>29</v>
      </c>
      <c r="Q9" s="575"/>
      <c r="R9" s="556" t="s">
        <v>33</v>
      </c>
      <c r="S9" s="575"/>
      <c r="T9" s="556" t="s">
        <v>34</v>
      </c>
      <c r="U9" s="575"/>
      <c r="V9" s="556" t="s">
        <v>35</v>
      </c>
      <c r="W9" s="575"/>
      <c r="X9" s="556" t="s">
        <v>36</v>
      </c>
      <c r="Y9" s="575"/>
      <c r="Z9" s="556" t="s">
        <v>37</v>
      </c>
      <c r="AA9" s="575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122"/>
      <c r="F10" s="279"/>
      <c r="G10" s="281"/>
      <c r="H10" s="280"/>
      <c r="I10" s="280"/>
      <c r="J10" s="279"/>
      <c r="K10" s="280"/>
      <c r="L10" s="279"/>
      <c r="M10" s="281"/>
      <c r="N10" s="280"/>
      <c r="O10" s="281"/>
      <c r="P10" s="280"/>
      <c r="Q10" s="281"/>
      <c r="R10" s="280"/>
      <c r="S10" s="281"/>
      <c r="T10" s="280"/>
      <c r="U10" s="281"/>
      <c r="V10" s="280"/>
      <c r="W10" s="281"/>
      <c r="X10" s="280"/>
      <c r="Y10" s="281"/>
      <c r="Z10" s="280"/>
      <c r="AA10" s="281"/>
      <c r="AB10" s="280"/>
      <c r="AC10" s="282"/>
      <c r="AE10" s="248"/>
      <c r="AF10" s="249"/>
      <c r="AG10" s="235"/>
    </row>
    <row r="11" spans="1:33" ht="15" customHeight="1" x14ac:dyDescent="0.2">
      <c r="A11" s="68" t="s">
        <v>9</v>
      </c>
      <c r="B11" s="20"/>
      <c r="C11" s="21"/>
      <c r="D11" s="5"/>
      <c r="E11" s="5"/>
      <c r="F11" s="48"/>
      <c r="G11" s="72"/>
      <c r="H11" s="39"/>
      <c r="I11" s="39"/>
      <c r="J11" s="48"/>
      <c r="K11" s="39"/>
      <c r="L11" s="48"/>
      <c r="M11" s="72"/>
      <c r="N11" s="345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/>
      <c r="D12" s="4"/>
      <c r="E12" s="31"/>
      <c r="F12" s="48"/>
      <c r="G12" s="73"/>
      <c r="H12" s="39"/>
      <c r="I12" s="77"/>
      <c r="J12" s="48"/>
      <c r="K12" s="77"/>
      <c r="L12" s="48"/>
      <c r="M12" s="74">
        <f>Dean_Eng!M12+ArchitectConst!M12+BAE!M12+Chemical!M12+Civil!M12+Comp_Sci!M12+Elec!M12+Industrial!M12+Mech!M12</f>
        <v>19086859</v>
      </c>
      <c r="N12" s="345"/>
      <c r="O12" s="368">
        <f>Dean_Eng!O12+ArchitectConst!O12+BAE!O12+Chemical!O12+Civil!O12+Comp_Sci!O12+Elec!O12+Industrial!O12+Mech!O12</f>
        <v>18668836</v>
      </c>
      <c r="P12" s="345"/>
      <c r="Q12" s="368">
        <f>Dean_Eng!Q12+ArchitectConst!Q12+BAE!Q12+Chemical!Q12+Civil!Q12+Comp_Sci!Q12+Elec!Q12+Industrial!Q12+Mech!Q12</f>
        <v>19409811</v>
      </c>
      <c r="R12" s="345"/>
      <c r="S12" s="368">
        <f>Dean_Eng!S12+ArchitectConst!S12+BAE!S12+Chemical!S12+Civil!S12+Comp_Sci!S12+Elec!S12+Industrial!S12+Mech!S12</f>
        <v>19733251</v>
      </c>
      <c r="T12" s="345"/>
      <c r="U12" s="368">
        <f>Dean_Eng!U12+ArchitectConst!U12+BAE!U12+Chemical!U12+Civil!U12+Comp_Sci!U12+Elec!U12+Industrial!U12+Mech!U12</f>
        <v>20471954</v>
      </c>
      <c r="V12" s="345"/>
      <c r="W12" s="368">
        <f>Dean_Eng!W12+ArchitectConst!W12+BAE!W12+Chemical!W12+Civil!W12+Comp_Sci!W12+Elec!W12+Industrial!W12+Mech!W12</f>
        <v>21540095</v>
      </c>
      <c r="X12" s="345"/>
      <c r="Y12" s="368">
        <f>Dean_Eng!Y12+ArchitectConst!Y12+BAE!Y12+Chemical!Y12+Civil!Y12+Comp_Sci!Y12+Elec!Y12+Industrial!Y12+Mech!Y12</f>
        <v>22504710</v>
      </c>
      <c r="Z12" s="345"/>
      <c r="AA12" s="368">
        <f>Dean_Eng!AA12+ArchitectConst!AA12+BAE!AA12+Chemical!AA12+Civil!AA12+Comp_Sci!AA12+Elec!AA12+Industrial!AA12+Mech!AA12</f>
        <v>23966841</v>
      </c>
      <c r="AB12" s="345"/>
      <c r="AC12" s="369">
        <f>Dean_Eng!AC12+ArchitectConst!AC12+BAE!AC12+Chemical!AC12+Civil!AC12+Comp_Sci!AC12+Elec!AC12+Industrial!AC12+Mech!AC12</f>
        <v>25507103</v>
      </c>
      <c r="AD12" s="349"/>
      <c r="AE12" s="350"/>
      <c r="AF12" s="351">
        <f>AVERAGE(W12,U12,Y12,AC12,AA12)</f>
        <v>22798140.600000001</v>
      </c>
      <c r="AG12" s="237">
        <f>+(AC12-U12)/U12</f>
        <v>0.24595351279120695</v>
      </c>
    </row>
    <row r="13" spans="1:33" ht="15" customHeight="1" x14ac:dyDescent="0.2">
      <c r="A13" s="69" t="s">
        <v>30</v>
      </c>
      <c r="B13" s="19"/>
      <c r="C13" s="22"/>
      <c r="D13" s="4"/>
      <c r="E13" s="31"/>
      <c r="F13" s="48"/>
      <c r="G13" s="133"/>
      <c r="H13" s="39"/>
      <c r="I13" s="77"/>
      <c r="J13" s="48"/>
      <c r="K13" s="77"/>
      <c r="L13" s="48"/>
      <c r="M13" s="74">
        <f>Dean_Eng!M13+ArchitectConst!M13+BAE!M13+Chemical!M13+Civil!M13+Comp_Sci!M13+Elec!M13+Industrial!M13+Mech!M13</f>
        <v>150840</v>
      </c>
      <c r="N13" s="345"/>
      <c r="O13" s="368">
        <f>Dean_Eng!O13+ArchitectConst!O13+BAE!O13+Chemical!O13+Civil!O13+Comp_Sci!O13+Elec!O13+Industrial!O13+Mech!O13</f>
        <v>123979</v>
      </c>
      <c r="P13" s="345"/>
      <c r="Q13" s="368">
        <f>Dean_Eng!Q13+ArchitectConst!Q13+BAE!Q13+Chemical!Q13+Civil!Q13+Comp_Sci!Q13+Elec!Q13+Industrial!Q13+Mech!Q13</f>
        <v>80000</v>
      </c>
      <c r="R13" s="345"/>
      <c r="S13" s="368">
        <f>Dean_Eng!S13+ArchitectConst!S13+BAE!S13+Chemical!S13+Civil!S13+Comp_Sci!S13+Elec!S13+Industrial!S13+Mech!S13</f>
        <v>80000</v>
      </c>
      <c r="T13" s="345"/>
      <c r="U13" s="368">
        <f>Dean_Eng!U13+ArchitectConst!U13+BAE!U13+Chemical!U13+Civil!U13+Comp_Sci!U13+Elec!U13+Industrial!U13+Mech!U13</f>
        <v>112146</v>
      </c>
      <c r="V13" s="345"/>
      <c r="W13" s="368">
        <f>Dean_Eng!W13+ArchitectConst!W13+BAE!W13+Chemical!W13+Civil!W13+Comp_Sci!W13+Elec!W13+Industrial!W13+Mech!W13</f>
        <v>91978</v>
      </c>
      <c r="X13" s="345"/>
      <c r="Y13" s="368">
        <f>Dean_Eng!Y13+ArchitectConst!Y13+BAE!Y13+Chemical!Y13+Civil!Y13+Comp_Sci!Y13+Elec!Y13+Industrial!Y13+Mech!Y13</f>
        <v>108367</v>
      </c>
      <c r="Z13" s="345"/>
      <c r="AA13" s="368">
        <f>Dean_Eng!AA13+ArchitectConst!AA13+BAE!AA13+Chemical!AA13+Civil!AA13+Comp_Sci!AA13+Elec!AA13+Industrial!AA13+Mech!AA13</f>
        <v>108170</v>
      </c>
      <c r="AB13" s="345"/>
      <c r="AC13" s="369">
        <f>Dean_Eng!AC13+ArchitectConst!AC13+BAE!AC13+Chemical!AC13+Civil!AC13+Comp_Sci!AC13+Elec!AC13+Industrial!AC13+Mech!AC13</f>
        <v>80000</v>
      </c>
      <c r="AD13" s="349"/>
      <c r="AE13" s="354"/>
      <c r="AF13" s="351">
        <f t="shared" ref="AF13:AF21" si="0">AVERAGE(W13,U13,Y13,AC13,AA13)</f>
        <v>100132.2</v>
      </c>
      <c r="AG13" s="237">
        <f t="shared" ref="AG13:AG21" si="1">+(AC13-U13)/U13</f>
        <v>-0.28664419595883939</v>
      </c>
    </row>
    <row r="14" spans="1:33" ht="24.75" thickBot="1" x14ac:dyDescent="0.25">
      <c r="A14" s="195" t="s">
        <v>31</v>
      </c>
      <c r="B14" s="196"/>
      <c r="C14" s="197"/>
      <c r="D14" s="138"/>
      <c r="E14" s="288"/>
      <c r="F14" s="198"/>
      <c r="G14" s="199"/>
      <c r="H14" s="200"/>
      <c r="I14" s="201"/>
      <c r="J14" s="198"/>
      <c r="K14" s="201"/>
      <c r="L14" s="198"/>
      <c r="M14" s="74">
        <f>Dean_Eng!M14+ArchitectConst!M14+BAE!M14+Chemical!M14+Civil!M14+Comp_Sci!M14+Elec!M14+Industrial!M14+Mech!M14</f>
        <v>11342763</v>
      </c>
      <c r="N14" s="355"/>
      <c r="O14" s="368">
        <f>Dean_Eng!O14+ArchitectConst!O14+BAE!O14+Chemical!O14+Civil!O14+Comp_Sci!O14+Elec!O14+Industrial!O14+Mech!O14</f>
        <v>10259958</v>
      </c>
      <c r="P14" s="355"/>
      <c r="Q14" s="368">
        <f>Dean_Eng!Q14+ArchitectConst!Q14+BAE!Q14+Chemical!Q14+Civil!Q14+Comp_Sci!Q14+Elec!Q14+Industrial!Q14+Mech!Q14</f>
        <v>12008495</v>
      </c>
      <c r="R14" s="355"/>
      <c r="S14" s="368">
        <f>Dean_Eng!S14+ArchitectConst!S14+BAE!S14+Chemical!S14+Civil!S14+Comp_Sci!S14+Elec!S14+Industrial!S14+Mech!S14</f>
        <v>12373132</v>
      </c>
      <c r="T14" s="355"/>
      <c r="U14" s="368">
        <f>Dean_Eng!U14+ArchitectConst!U14+BAE!U14+Chemical!U14+Civil!U14+Comp_Sci!U14+Elec!U14+Industrial!U14+Mech!U14</f>
        <v>12894031</v>
      </c>
      <c r="V14" s="355"/>
      <c r="W14" s="368">
        <f>Dean_Eng!W14+ArchitectConst!W14+BAE!W14+Chemical!W14+Civil!W14+Comp_Sci!W14+Elec!W14+Industrial!W14+Mech!W14</f>
        <v>14818221</v>
      </c>
      <c r="X14" s="355"/>
      <c r="Y14" s="368">
        <f>Dean_Eng!Y14+ArchitectConst!Y14+BAE!Y14+Chemical!Y14+Civil!Y14+Comp_Sci!Y14+Elec!Y14+Industrial!Y14+Mech!Y14</f>
        <v>13699284</v>
      </c>
      <c r="Z14" s="355"/>
      <c r="AA14" s="368">
        <f>Dean_Eng!AA14+ArchitectConst!AA14+BAE!AA14+Chemical!AA14+Civil!AA14+Comp_Sci!AA14+Elec!AA14+Industrial!AA14+Mech!AA14</f>
        <v>13745670</v>
      </c>
      <c r="AB14" s="355"/>
      <c r="AC14" s="369">
        <f>Dean_Eng!AC14+ArchitectConst!AC14+BAE!AC14+Chemical!AC14+Civil!AC14+Comp_Sci!AC14+Elec!AC14+Industrial!AC14+Mech!AC14</f>
        <v>15209596</v>
      </c>
      <c r="AD14" s="349"/>
      <c r="AE14" s="358"/>
      <c r="AF14" s="359">
        <f t="shared" si="0"/>
        <v>14073360.4</v>
      </c>
      <c r="AG14" s="237">
        <f t="shared" si="1"/>
        <v>0.17958425879385587</v>
      </c>
    </row>
    <row r="15" spans="1:33" ht="18.75" customHeight="1" thickBot="1" x14ac:dyDescent="0.25">
      <c r="A15" s="205" t="s">
        <v>11</v>
      </c>
      <c r="B15" s="206"/>
      <c r="C15" s="207"/>
      <c r="D15" s="274"/>
      <c r="E15" s="291"/>
      <c r="F15" s="209"/>
      <c r="G15" s="210"/>
      <c r="H15" s="211"/>
      <c r="I15" s="212"/>
      <c r="J15" s="209"/>
      <c r="K15" s="212">
        <f>SUM(K12:K14)</f>
        <v>0</v>
      </c>
      <c r="L15" s="209"/>
      <c r="M15" s="210">
        <f>SUM(M12:M14)</f>
        <v>30580462</v>
      </c>
      <c r="N15" s="360"/>
      <c r="O15" s="361">
        <f>SUM(O12:O14)</f>
        <v>29052773</v>
      </c>
      <c r="P15" s="360"/>
      <c r="Q15" s="361">
        <f>SUM(Q12:Q14)</f>
        <v>31498306</v>
      </c>
      <c r="R15" s="360"/>
      <c r="S15" s="361">
        <f>SUM(S12:S14)</f>
        <v>32186383</v>
      </c>
      <c r="T15" s="360"/>
      <c r="U15" s="361">
        <f>SUM(U12:U14)</f>
        <v>33478131</v>
      </c>
      <c r="V15" s="360"/>
      <c r="W15" s="361">
        <f>SUM(W12:W14)</f>
        <v>36450294</v>
      </c>
      <c r="X15" s="360"/>
      <c r="Y15" s="361">
        <f>SUM(Y12:Y14)</f>
        <v>36312361</v>
      </c>
      <c r="Z15" s="360"/>
      <c r="AA15" s="361">
        <f>SUM(AA12:AA14)</f>
        <v>37820681</v>
      </c>
      <c r="AB15" s="360"/>
      <c r="AC15" s="362">
        <f>SUM(AC12:AC14)</f>
        <v>40796699</v>
      </c>
      <c r="AD15" s="349"/>
      <c r="AE15" s="363"/>
      <c r="AF15" s="364">
        <f t="shared" si="0"/>
        <v>36971633.200000003</v>
      </c>
      <c r="AG15" s="238">
        <f t="shared" si="1"/>
        <v>0.21860742464984081</v>
      </c>
    </row>
    <row r="16" spans="1:33" ht="15" customHeight="1" x14ac:dyDescent="0.2">
      <c r="A16" s="203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344"/>
    </row>
    <row r="17" spans="1:33" ht="15" customHeight="1" x14ac:dyDescent="0.2">
      <c r="A17" s="69" t="s">
        <v>10</v>
      </c>
      <c r="B17" s="20"/>
      <c r="C17" s="23"/>
      <c r="D17" s="5"/>
      <c r="E17" s="32"/>
      <c r="F17" s="49"/>
      <c r="G17" s="74"/>
      <c r="H17" s="40"/>
      <c r="I17" s="77"/>
      <c r="J17" s="49"/>
      <c r="K17" s="77"/>
      <c r="L17" s="49"/>
      <c r="M17" s="74">
        <f>Dean_Eng!M17+ArchitectConst!M17+BAE!M17+Chemical!M17+Civil!M17+Comp_Sci!M17+Elec!M17+Industrial!M17+Mech!M17</f>
        <v>1898822</v>
      </c>
      <c r="N17" s="367"/>
      <c r="O17" s="368">
        <f>Dean_Eng!O17+ArchitectConst!O17+BAE!O17+Chemical!O17+Civil!O17+Comp_Sci!O17+Elec!O17+Industrial!O17+Mech!O17</f>
        <v>1719535</v>
      </c>
      <c r="P17" s="367"/>
      <c r="Q17" s="368">
        <f>Dean_Eng!Q17+ArchitectConst!Q17+BAE!Q17+Chemical!Q17+Civil!Q17+Comp_Sci!Q17+Elec!Q17+Industrial!Q17+Mech!Q17</f>
        <v>1694990</v>
      </c>
      <c r="R17" s="367"/>
      <c r="S17" s="368">
        <f>Dean_Eng!S17+ArchitectConst!S17+BAE!S17+Chemical!S17+Civil!S17+Comp_Sci!S17+Elec!S17+Industrial!S17+Mech!S17</f>
        <v>1699948</v>
      </c>
      <c r="T17" s="367"/>
      <c r="U17" s="368">
        <f>Dean_Eng!U17+ArchitectConst!U17+BAE!U17+Chemical!U17+Civil!U17+Comp_Sci!U17+Elec!U17+Industrial!U17+Mech!U17</f>
        <v>1762817</v>
      </c>
      <c r="V17" s="367"/>
      <c r="W17" s="368">
        <f>Dean_Eng!W17+ArchitectConst!W17+BAE!W17+Chemical!W17+Civil!W17+Comp_Sci!W17+Elec!W17+Industrial!W17+Mech!W17</f>
        <v>1619183</v>
      </c>
      <c r="X17" s="367"/>
      <c r="Y17" s="368">
        <f>Dean_Eng!Y17+ArchitectConst!Y17+BAE!Y17+Chemical!Y17+Civil!Y17+Comp_Sci!Y17+Elec!Y17+Industrial!Y17+Mech!Y17</f>
        <v>1676976</v>
      </c>
      <c r="Z17" s="367"/>
      <c r="AA17" s="368">
        <f>Dean_Eng!AA17+ArchitectConst!AA17+BAE!AA17+Chemical!AA17+Civil!AA17+Comp_Sci!AA17+Elec!AA17+Industrial!AA17+Mech!AA17</f>
        <v>1634846</v>
      </c>
      <c r="AB17" s="367"/>
      <c r="AC17" s="369">
        <f>Dean_Eng!AC17+ArchitectConst!AC17+BAE!AC17+Chemical!AC17+Civil!AC17+Comp_Sci!AC17+Elec!AC17+Industrial!AC17+Mech!AC17</f>
        <v>1530610</v>
      </c>
      <c r="AD17" s="349"/>
      <c r="AE17" s="350"/>
      <c r="AF17" s="351">
        <f t="shared" si="0"/>
        <v>1644886.4</v>
      </c>
      <c r="AG17" s="237">
        <f t="shared" si="1"/>
        <v>-0.13172496067373982</v>
      </c>
    </row>
    <row r="18" spans="1:33" ht="15" customHeight="1" x14ac:dyDescent="0.2">
      <c r="A18" s="69" t="s">
        <v>30</v>
      </c>
      <c r="B18" s="20"/>
      <c r="C18" s="23"/>
      <c r="D18" s="5"/>
      <c r="E18" s="32"/>
      <c r="F18" s="49"/>
      <c r="G18" s="74"/>
      <c r="H18" s="49"/>
      <c r="I18" s="77"/>
      <c r="J18" s="49"/>
      <c r="K18" s="77"/>
      <c r="L18" s="49"/>
      <c r="M18" s="74">
        <f>Dean_Eng!M18+ArchitectConst!M18+BAE!M18+Chemical!M18+Civil!M18+Comp_Sci!M18+Elec!M18+Industrial!M18+Mech!M18</f>
        <v>217000</v>
      </c>
      <c r="N18" s="367"/>
      <c r="O18" s="368">
        <f>Dean_Eng!O18+ArchitectConst!O18+BAE!O18+Chemical!O18+Civil!O18+Comp_Sci!O18+Elec!O18+Industrial!O18+Mech!O18</f>
        <v>217000</v>
      </c>
      <c r="P18" s="367"/>
      <c r="Q18" s="368">
        <f>Dean_Eng!Q18+ArchitectConst!Q18+BAE!Q18+Chemical!Q18+Civil!Q18+Comp_Sci!Q18+Elec!Q18+Industrial!Q18+Mech!Q18</f>
        <v>217000</v>
      </c>
      <c r="R18" s="367"/>
      <c r="S18" s="368">
        <f>Dean_Eng!S18+ArchitectConst!S18+BAE!S18+Chemical!S18+Civil!S18+Comp_Sci!S18+Elec!S18+Industrial!S18+Mech!S18</f>
        <v>217000</v>
      </c>
      <c r="T18" s="367"/>
      <c r="U18" s="368">
        <f>Dean_Eng!U18+ArchitectConst!U18+BAE!U18+Chemical!U18+Civil!U18+Comp_Sci!U18+Elec!U18+Industrial!U18+Mech!U18</f>
        <v>217000</v>
      </c>
      <c r="V18" s="367"/>
      <c r="W18" s="368">
        <f>Dean_Eng!W18+ArchitectConst!W18+BAE!W18+Chemical!W18+Civil!W18+Comp_Sci!W18+Elec!W18+Industrial!W18+Mech!W18</f>
        <v>217000</v>
      </c>
      <c r="X18" s="367"/>
      <c r="Y18" s="368">
        <f>Dean_Eng!Y18+ArchitectConst!Y18+BAE!Y18+Chemical!Y18+Civil!Y18+Comp_Sci!Y18+Elec!Y18+Industrial!Y18+Mech!Y18</f>
        <v>217000</v>
      </c>
      <c r="Z18" s="367"/>
      <c r="AA18" s="368">
        <f>Dean_Eng!AA18+ArchitectConst!AA18+BAE!AA18+Chemical!AA18+Civil!AA18+Comp_Sci!AA18+Elec!AA18+Industrial!AA18+Mech!AA18</f>
        <v>217000</v>
      </c>
      <c r="AB18" s="367"/>
      <c r="AC18" s="369">
        <f>Dean_Eng!AC18+ArchitectConst!AC18+BAE!AC18+Chemical!AC18+Civil!AC18+Comp_Sci!AC18+Elec!AC18+Industrial!AC18+Mech!AC18</f>
        <v>217000</v>
      </c>
      <c r="AD18" s="349"/>
      <c r="AE18" s="354"/>
      <c r="AF18" s="351">
        <f t="shared" si="0"/>
        <v>217000</v>
      </c>
      <c r="AG18" s="237">
        <f t="shared" si="1"/>
        <v>0</v>
      </c>
    </row>
    <row r="19" spans="1:33" ht="24.75" thickBot="1" x14ac:dyDescent="0.25">
      <c r="A19" s="195" t="s">
        <v>31</v>
      </c>
      <c r="B19" s="196"/>
      <c r="C19" s="197"/>
      <c r="D19" s="138"/>
      <c r="E19" s="288"/>
      <c r="F19" s="198"/>
      <c r="G19" s="199"/>
      <c r="H19" s="13"/>
      <c r="I19" s="120"/>
      <c r="J19" s="300"/>
      <c r="K19" s="120"/>
      <c r="L19" s="300"/>
      <c r="M19" s="74">
        <f>Dean_Eng!M19+ArchitectConst!M19+BAE!M19+Chemical!M19+Civil!M19+Comp_Sci!M19+Elec!M19+Industrial!M19+Mech!M19</f>
        <v>1328588</v>
      </c>
      <c r="N19" s="444"/>
      <c r="O19" s="368">
        <f>Dean_Eng!O19+ArchitectConst!O19+BAE!O19+Chemical!O19+Civil!O19+Comp_Sci!O19+Elec!O19+Industrial!O19+Mech!O19</f>
        <v>1326650</v>
      </c>
      <c r="P19" s="444"/>
      <c r="Q19" s="368">
        <f>Dean_Eng!Q19+ArchitectConst!Q19+BAE!Q19+Chemical!Q19+Civil!Q19+Comp_Sci!Q19+Elec!Q19+Industrial!Q19+Mech!Q19</f>
        <v>1328065</v>
      </c>
      <c r="R19" s="444"/>
      <c r="S19" s="368">
        <f>Dean_Eng!S19+ArchitectConst!S19+BAE!S19+Chemical!S19+Civil!S19+Comp_Sci!S19+Elec!S19+Industrial!S19+Mech!S19</f>
        <v>1327692</v>
      </c>
      <c r="T19" s="444"/>
      <c r="U19" s="368">
        <f>Dean_Eng!U19+ArchitectConst!U19+BAE!U19+Chemical!U19+Civil!U19+Comp_Sci!U19+Elec!U19+Industrial!U19+Mech!U19</f>
        <v>1327388</v>
      </c>
      <c r="V19" s="444"/>
      <c r="W19" s="368">
        <f>Dean_Eng!W19+ArchitectConst!W19+BAE!W19+Chemical!W19+Civil!W19+Comp_Sci!W19+Elec!W19+Industrial!W19+Mech!W19</f>
        <v>1456104</v>
      </c>
      <c r="X19" s="444"/>
      <c r="Y19" s="368">
        <f>Dean_Eng!Y19+ArchitectConst!Y19+BAE!Y19+Chemical!Y19+Civil!Y19+Comp_Sci!Y19+Elec!Y19+Industrial!Y19+Mech!Y19</f>
        <v>1362450</v>
      </c>
      <c r="Z19" s="444"/>
      <c r="AA19" s="368">
        <f>Dean_Eng!AA19+ArchitectConst!AA19+BAE!AA19+Chemical!AA19+Civil!AA19+Comp_Sci!AA19+Elec!AA19+Industrial!AA19+Mech!AA19</f>
        <v>1469586</v>
      </c>
      <c r="AB19" s="444"/>
      <c r="AC19" s="369">
        <f>Dean_Eng!AC19+ArchitectConst!AC19+BAE!AC19+Chemical!AC19+Civil!AC19+Comp_Sci!AC19+Elec!AC19+Industrial!AC19+Mech!AC19</f>
        <v>1538893</v>
      </c>
      <c r="AD19" s="349"/>
      <c r="AE19" s="358"/>
      <c r="AF19" s="351">
        <f t="shared" si="0"/>
        <v>1430884.2</v>
      </c>
      <c r="AG19" s="240">
        <f t="shared" si="1"/>
        <v>0.15933924368760302</v>
      </c>
    </row>
    <row r="20" spans="1:33" ht="18.75" customHeight="1" thickBot="1" x14ac:dyDescent="0.25">
      <c r="A20" s="205" t="s">
        <v>13</v>
      </c>
      <c r="B20" s="206"/>
      <c r="C20" s="207"/>
      <c r="D20" s="274"/>
      <c r="E20" s="291"/>
      <c r="F20" s="209"/>
      <c r="G20" s="210"/>
      <c r="H20" s="211"/>
      <c r="I20" s="212"/>
      <c r="J20" s="209"/>
      <c r="K20" s="212">
        <f>SUM(K17:K19)</f>
        <v>0</v>
      </c>
      <c r="L20" s="209"/>
      <c r="M20" s="210">
        <f>SUM(M17:M19)</f>
        <v>3444410</v>
      </c>
      <c r="N20" s="360"/>
      <c r="O20" s="361">
        <f>SUM(O17:O19)</f>
        <v>3263185</v>
      </c>
      <c r="P20" s="360"/>
      <c r="Q20" s="361">
        <f>SUM(Q17:Q19)</f>
        <v>3240055</v>
      </c>
      <c r="R20" s="360"/>
      <c r="S20" s="361">
        <f>SUM(S17:S19)</f>
        <v>3244640</v>
      </c>
      <c r="T20" s="360"/>
      <c r="U20" s="361">
        <f>SUM(U17:U19)</f>
        <v>3307205</v>
      </c>
      <c r="V20" s="360"/>
      <c r="W20" s="361">
        <f>SUM(W17:W19)</f>
        <v>3292287</v>
      </c>
      <c r="X20" s="360"/>
      <c r="Y20" s="361">
        <f>SUM(Y17:Y19)</f>
        <v>3256426</v>
      </c>
      <c r="Z20" s="360"/>
      <c r="AA20" s="361">
        <f>SUM(AA17:AA19)</f>
        <v>3321432</v>
      </c>
      <c r="AB20" s="360"/>
      <c r="AC20" s="362">
        <f>SUM(AC17:AC19)</f>
        <v>3286503</v>
      </c>
      <c r="AD20" s="349"/>
      <c r="AE20" s="363"/>
      <c r="AF20" s="364">
        <f t="shared" si="0"/>
        <v>3292770.6</v>
      </c>
      <c r="AG20" s="241">
        <f t="shared" si="1"/>
        <v>-6.2596663950375015E-3</v>
      </c>
    </row>
    <row r="21" spans="1:33" ht="18.75" customHeight="1" thickBot="1" x14ac:dyDescent="0.25">
      <c r="A21" s="226" t="s">
        <v>14</v>
      </c>
      <c r="B21" s="217"/>
      <c r="C21" s="218"/>
      <c r="D21" s="265"/>
      <c r="E21" s="287"/>
      <c r="F21" s="220"/>
      <c r="G21" s="221"/>
      <c r="H21" s="222"/>
      <c r="I21" s="223"/>
      <c r="J21" s="220"/>
      <c r="K21" s="223">
        <f>SUM(K15,K20)</f>
        <v>0</v>
      </c>
      <c r="L21" s="220"/>
      <c r="M21" s="221">
        <f>SUM(M15,M20)</f>
        <v>34024872</v>
      </c>
      <c r="N21" s="370"/>
      <c r="O21" s="371">
        <f>SUM(O15,O20)</f>
        <v>32315958</v>
      </c>
      <c r="P21" s="370"/>
      <c r="Q21" s="371">
        <f>SUM(Q15,Q20)</f>
        <v>34738361</v>
      </c>
      <c r="R21" s="370"/>
      <c r="S21" s="371">
        <f>SUM(S15,S20)</f>
        <v>35431023</v>
      </c>
      <c r="T21" s="370"/>
      <c r="U21" s="371">
        <f>SUM(U15,U20)</f>
        <v>36785336</v>
      </c>
      <c r="V21" s="370"/>
      <c r="W21" s="371">
        <f>SUM(W15,W20)</f>
        <v>39742581</v>
      </c>
      <c r="X21" s="370"/>
      <c r="Y21" s="371">
        <f>SUM(Y15,Y20)</f>
        <v>39568787</v>
      </c>
      <c r="Z21" s="370"/>
      <c r="AA21" s="371">
        <f>SUM(AA15,AA20)</f>
        <v>41142113</v>
      </c>
      <c r="AB21" s="370"/>
      <c r="AC21" s="372">
        <f>SUM(AC15,AC20)</f>
        <v>44083202</v>
      </c>
      <c r="AD21" s="349"/>
      <c r="AE21" s="373"/>
      <c r="AF21" s="374">
        <f t="shared" si="0"/>
        <v>40264403.799999997</v>
      </c>
      <c r="AG21" s="242">
        <f t="shared" si="1"/>
        <v>0.19839063044034722</v>
      </c>
    </row>
    <row r="22" spans="1:33" ht="18" customHeight="1" thickBot="1" x14ac:dyDescent="0.25">
      <c r="A22" s="264" t="s">
        <v>38</v>
      </c>
      <c r="B22" s="566"/>
      <c r="C22" s="567"/>
      <c r="D22" s="568"/>
      <c r="E22" s="567"/>
      <c r="F22" s="550"/>
      <c r="G22" s="551"/>
      <c r="H22" s="550"/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77"/>
      <c r="Y22" s="578"/>
      <c r="Z22" s="577"/>
      <c r="AA22" s="578"/>
      <c r="AB22" s="577"/>
      <c r="AC22" s="580"/>
      <c r="AD22" s="349"/>
      <c r="AE22" s="527"/>
      <c r="AF22" s="528"/>
      <c r="AG22" s="243"/>
    </row>
    <row r="23" spans="1:33" ht="15" customHeight="1" x14ac:dyDescent="0.2">
      <c r="A23" s="262" t="s">
        <v>41</v>
      </c>
      <c r="B23" s="24"/>
      <c r="C23" s="25"/>
      <c r="D23" s="6"/>
      <c r="E23" s="65"/>
      <c r="F23" s="56"/>
      <c r="G23" s="224"/>
      <c r="H23" s="45"/>
      <c r="I23" s="302"/>
      <c r="J23" s="56"/>
      <c r="K23" s="98"/>
      <c r="L23" s="56"/>
      <c r="M23" s="224">
        <f>Dean_Eng!M23+ArchitectConst!M23+BAE!M23+Chemical!M23+Civil!M23+Comp_Sci!M23+Elec!M23+Industrial!M23+Mech!M23</f>
        <v>16535921</v>
      </c>
      <c r="N23" s="345"/>
      <c r="O23" s="463">
        <f>Dean_Eng!O23+ArchitectConst!O23+BAE!O23+Chemical!O23+Civil!O23+Comp_Sci!O23+Elec!O23+Industrial!O23+Mech!O23</f>
        <v>16866945</v>
      </c>
      <c r="P23" s="492"/>
      <c r="Q23" s="463">
        <f>Dean_Eng!Q23+ArchitectConst!Q23+BAE!Q23+Chemical!Q23+Civil!Q23+Comp_Sci!Q23+Elec!Q23+Industrial!Q23+Mech!Q23</f>
        <v>16828072</v>
      </c>
      <c r="R23" s="492"/>
      <c r="S23" s="463">
        <f>Dean_Eng!S23+ArchitectConst!S23+BAE!S23+Chemical!S23+Civil!S23+Comp_Sci!S23+Elec!S23+Industrial!S23+Mech!S23</f>
        <v>17819668</v>
      </c>
      <c r="T23" s="492"/>
      <c r="U23" s="463">
        <f>Dean_Eng!U23+ArchitectConst!U23+BAE!U23+Chemical!U23+Civil!U23+Comp_Sci!U23+Elec!U23+Industrial!U23+Mech!U23</f>
        <v>14751265</v>
      </c>
      <c r="V23" s="492"/>
      <c r="W23" s="463">
        <f>Dean_Eng!W23+ArchitectConst!W23+BAE!W23+Chemical!W23+Civil!W23+Comp_Sci!W23+Elec!W23+Industrial!W23+Mech!W23</f>
        <v>15985457.029999999</v>
      </c>
      <c r="X23" s="493"/>
      <c r="Y23" s="463">
        <f>Dean_Eng!Y23+ArchitectConst!Y23+BAE!Y23+Chemical!Y23+Civil!Y23+Comp_Sci!Y23+Elec!Y23+Industrial!Y23+Mech!Y23</f>
        <v>16511261</v>
      </c>
      <c r="Z23" s="493"/>
      <c r="AA23" s="463">
        <f>Dean_Eng!AA23+ArchitectConst!AA23+BAE!AA23+Chemical!AA23+Civil!AA23+Comp_Sci!AA23+Elec!AA23+Industrial!AA23+Mech!AA23</f>
        <v>16053353</v>
      </c>
      <c r="AB23" s="404"/>
      <c r="AC23" s="482"/>
      <c r="AD23" s="349"/>
      <c r="AE23" s="350"/>
      <c r="AF23" s="351">
        <f>AVERAGE(U23,AA23,S23,W23,Y23)</f>
        <v>16224200.806</v>
      </c>
      <c r="AG23" s="237">
        <f>+(AA23-S23)/S23</f>
        <v>-9.9121655914128137E-2</v>
      </c>
    </row>
    <row r="24" spans="1:33" ht="15" customHeight="1" x14ac:dyDescent="0.2">
      <c r="A24" s="262" t="s">
        <v>39</v>
      </c>
      <c r="B24" s="27"/>
      <c r="C24" s="35"/>
      <c r="D24" s="9"/>
      <c r="E24" s="64"/>
      <c r="F24" s="27"/>
      <c r="G24" s="35"/>
      <c r="H24" s="27"/>
      <c r="I24" s="35"/>
      <c r="J24" s="27"/>
      <c r="K24" s="35"/>
      <c r="L24" s="27"/>
      <c r="M24" s="224">
        <f>Dean_Eng!M24+ArchitectConst!M24+BAE!M24+Chemical!M24+Civil!M24+Comp_Sci!M24+Elec!M24+Industrial!M24+Mech!M24</f>
        <v>15079597.950000001</v>
      </c>
      <c r="N24" s="425"/>
      <c r="O24" s="463">
        <f>Dean_Eng!O24+ArchitectConst!O24+BAE!O24+Chemical!O24+Civil!O24+Comp_Sci!O24+Elec!O24+Industrial!O24+Mech!O24</f>
        <v>16723135.819999995</v>
      </c>
      <c r="P24" s="456"/>
      <c r="Q24" s="463">
        <f>Dean_Eng!Q24+ArchitectConst!Q24+BAE!Q24+Chemical!Q24+Civil!Q24+Comp_Sci!Q24+Elec!Q24+Industrial!Q24+Mech!Q24</f>
        <v>16717636.07</v>
      </c>
      <c r="R24" s="456"/>
      <c r="S24" s="463">
        <f>Dean_Eng!S24+ArchitectConst!S24+BAE!S24+Chemical!S24+Civil!S24+Comp_Sci!S24+Elec!S24+Industrial!S24+Mech!S24</f>
        <v>17939178.360000007</v>
      </c>
      <c r="T24" s="456"/>
      <c r="U24" s="463">
        <f>Dean_Eng!U24+ArchitectConst!U24+BAE!U24+Chemical!U24+Civil!U24+Comp_Sci!U24+Elec!U24+Industrial!U24+Mech!U24</f>
        <v>21365396.460000001</v>
      </c>
      <c r="V24" s="456"/>
      <c r="W24" s="463">
        <f>Dean_Eng!W24+ArchitectConst!W24+BAE!W24+Chemical!W24+Civil!W24+Comp_Sci!W24+Elec!W24+Industrial!W24+Mech!W24</f>
        <v>17883492.060000006</v>
      </c>
      <c r="X24" s="457"/>
      <c r="Y24" s="463">
        <f>Dean_Eng!Y24+ArchitectConst!Y24+BAE!Y24+Chemical!Y24+Civil!Y24+Comp_Sci!Y24+Elec!Y24+Industrial!Y24+Mech!Y24</f>
        <v>20609102</v>
      </c>
      <c r="Z24" s="457"/>
      <c r="AA24" s="463">
        <f>Dean_Eng!AA24+ArchitectConst!AA24+BAE!AA24+Chemical!AA24+Civil!AA24+Comp_Sci!AA24+Elec!AA24+Industrial!AA24+Mech!AA24</f>
        <v>19243689</v>
      </c>
      <c r="AB24" s="427"/>
      <c r="AC24" s="482"/>
      <c r="AD24" s="349"/>
      <c r="AE24" s="350"/>
      <c r="AF24" s="351">
        <f t="shared" ref="AF24:AF25" si="2">AVERAGE(U24,AA24,S24,W24,Y24)</f>
        <v>19408171.576000001</v>
      </c>
      <c r="AG24" s="237">
        <f t="shared" ref="AG24:AG25" si="3">+(AA24-S24)/S24</f>
        <v>7.2718527784345677E-2</v>
      </c>
    </row>
    <row r="25" spans="1:33" ht="15" customHeight="1" thickBot="1" x14ac:dyDescent="0.25">
      <c r="A25" s="263" t="s">
        <v>40</v>
      </c>
      <c r="B25" s="30"/>
      <c r="C25" s="139"/>
      <c r="D25" s="8"/>
      <c r="E25" s="155"/>
      <c r="F25" s="30"/>
      <c r="G25" s="139"/>
      <c r="H25" s="30"/>
      <c r="I25" s="139"/>
      <c r="J25" s="30"/>
      <c r="K25" s="139"/>
      <c r="L25" s="30"/>
      <c r="M25" s="139">
        <f>Dean_Eng!M25+ArchitectConst!M25+BAE!M25+Chemical!M25+Civil!M25+Comp_Sci!M25+Elec!M25+Industrial!M25+Mech!M25</f>
        <v>1468828.53</v>
      </c>
      <c r="N25" s="431"/>
      <c r="O25" s="432">
        <f>Dean_Eng!O25+ArchitectConst!O25+BAE!O25+Chemical!O25+Civil!O25+Comp_Sci!O25+Elec!O25+Industrial!O25+Mech!O25</f>
        <v>268796.86</v>
      </c>
      <c r="P25" s="459"/>
      <c r="Q25" s="432">
        <f>Dean_Eng!Q25+ArchitectConst!Q25+BAE!Q25+Chemical!Q25+Civil!Q25+Comp_Sci!Q25+Elec!Q25+Industrial!Q25+Mech!Q25</f>
        <v>1249223.06</v>
      </c>
      <c r="R25" s="459"/>
      <c r="S25" s="432">
        <f>Dean_Eng!S25+ArchitectConst!S25+BAE!S25+Chemical!S25+Civil!S25+Comp_Sci!S25+Elec!S25+Industrial!S25+Mech!S25</f>
        <v>1118715.71</v>
      </c>
      <c r="T25" s="459"/>
      <c r="U25" s="432">
        <f>Dean_Eng!U25+ArchitectConst!U25+BAE!U25+Chemical!U25+Civil!U25+Comp_Sci!U25+Elec!U25+Industrial!U25+Mech!U25</f>
        <v>1155223.98</v>
      </c>
      <c r="V25" s="459"/>
      <c r="W25" s="432">
        <f>Dean_Eng!W25+ArchitectConst!W25+BAE!W25+Chemical!W25+Civil!W25+Comp_Sci!W25+Elec!W25+Industrial!W25+Mech!W25</f>
        <v>1109836.79</v>
      </c>
      <c r="X25" s="460"/>
      <c r="Y25" s="432">
        <f>Dean_Eng!Y25+ArchitectConst!Y25+BAE!Y25+Chemical!Y25+Civil!Y25+Comp_Sci!Y25+Elec!Y25+Industrial!Y25+Mech!Y25</f>
        <v>1168414</v>
      </c>
      <c r="Z25" s="460"/>
      <c r="AA25" s="432">
        <f>Dean_Eng!AA25+ArchitectConst!AA25+BAE!AA25+Chemical!AA25+Civil!AA25+Comp_Sci!AA25+Elec!AA25+Industrial!AA25+Mech!AA25</f>
        <v>1111518</v>
      </c>
      <c r="AB25" s="433"/>
      <c r="AC25" s="515"/>
      <c r="AD25" s="349"/>
      <c r="AE25" s="386"/>
      <c r="AF25" s="351">
        <f t="shared" si="2"/>
        <v>1132741.696</v>
      </c>
      <c r="AG25" s="237">
        <f t="shared" si="3"/>
        <v>-6.4339044635387871E-3</v>
      </c>
    </row>
    <row r="26" spans="1:33" ht="18" customHeight="1" thickTop="1" x14ac:dyDescent="0.2">
      <c r="A26" s="119" t="s">
        <v>52</v>
      </c>
      <c r="B26" s="142"/>
      <c r="C26" s="143"/>
      <c r="D26" s="144"/>
      <c r="E26" s="156"/>
      <c r="F26" s="184"/>
      <c r="G26" s="185"/>
      <c r="H26" s="190"/>
      <c r="I26" s="331"/>
      <c r="J26" s="184" t="s">
        <v>18</v>
      </c>
      <c r="K26" s="331" t="s">
        <v>19</v>
      </c>
      <c r="L26" s="184" t="s">
        <v>18</v>
      </c>
      <c r="M26" s="185" t="s">
        <v>19</v>
      </c>
      <c r="N26" s="485" t="s">
        <v>18</v>
      </c>
      <c r="O26" s="497" t="s">
        <v>19</v>
      </c>
      <c r="P26" s="485" t="s">
        <v>18</v>
      </c>
      <c r="Q26" s="497" t="s">
        <v>19</v>
      </c>
      <c r="R26" s="485" t="s">
        <v>18</v>
      </c>
      <c r="S26" s="497" t="s">
        <v>19</v>
      </c>
      <c r="T26" s="485" t="s">
        <v>18</v>
      </c>
      <c r="U26" s="497" t="s">
        <v>19</v>
      </c>
      <c r="V26" s="485" t="s">
        <v>18</v>
      </c>
      <c r="W26" s="497" t="s">
        <v>19</v>
      </c>
      <c r="X26" s="487" t="s">
        <v>18</v>
      </c>
      <c r="Y26" s="488" t="s">
        <v>19</v>
      </c>
      <c r="Z26" s="487" t="s">
        <v>18</v>
      </c>
      <c r="AA26" s="488" t="s">
        <v>19</v>
      </c>
      <c r="AB26" s="487" t="s">
        <v>18</v>
      </c>
      <c r="AC26" s="489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53</v>
      </c>
      <c r="B27" s="63"/>
      <c r="C27" s="82"/>
      <c r="D27" s="113"/>
      <c r="E27" s="83"/>
      <c r="F27" s="186"/>
      <c r="G27" s="259"/>
      <c r="H27" s="186"/>
      <c r="I27" s="255"/>
      <c r="J27" s="186"/>
      <c r="K27" s="255"/>
      <c r="L27" s="186">
        <f>Dean_Eng!L27+ArchitectConst!L27+BAE!L27+Chemical!L27+Civil!L27+Comp_Sci!L27+Elec!L27+Industrial!L27+Mech!L27</f>
        <v>230</v>
      </c>
      <c r="M27" s="255">
        <f>Dean_Eng!M27+ArchitectConst!M27+BAE!M27+Chemical!M27+Civil!M27+Comp_Sci!M27+Elec!M27+Industrial!M27+Mech!M27</f>
        <v>25977469</v>
      </c>
      <c r="N27" s="394">
        <f>Dean_Eng!N27+ArchitectConst!N27+BAE!N27+Chemical!N27+Civil!N27+Comp_Sci!N27+Elec!N27+Industrial!N27+Mech!N27</f>
        <v>238</v>
      </c>
      <c r="O27" s="441">
        <f>Dean_Eng!O27+ArchitectConst!O27+BAE!O27+Chemical!O27+Civil!O27+Comp_Sci!O27+Elec!O27+Industrial!O27+Mech!O27</f>
        <v>33582572</v>
      </c>
      <c r="P27" s="394">
        <f>Dean_Eng!P27+ArchitectConst!P27+BAE!P27+Chemical!P27+Civil!P27+Comp_Sci!P27+Elec!P27+Industrial!P27+Mech!P27</f>
        <v>209</v>
      </c>
      <c r="Q27" s="441">
        <f>Dean_Eng!Q27+ArchitectConst!Q27+BAE!Q27+Chemical!Q27+Civil!Q27+Comp_Sci!Q27+Elec!Q27+Industrial!Q27+Mech!Q27</f>
        <v>32467451</v>
      </c>
      <c r="R27" s="394">
        <f>Dean_Eng!R27+ArchitectConst!R27+BAE!R27+Chemical!R27+Civil!R27+Comp_Sci!R27+Elec!R27+Industrial!R27+Mech!R27</f>
        <v>230</v>
      </c>
      <c r="S27" s="441">
        <f>Dean_Eng!S27+ArchitectConst!S27+BAE!S27+Chemical!S27+Civil!S27+Comp_Sci!S27+Elec!S27+Industrial!S27+Mech!S27</f>
        <v>32957170</v>
      </c>
      <c r="T27" s="394">
        <f>Dean_Eng!T27+ArchitectConst!T27+BAE!T27+Chemical!T27+Civil!T27+Comp_Sci!T27+Elec!T27+Industrial!T27+Mech!T27</f>
        <v>198</v>
      </c>
      <c r="U27" s="441">
        <f>Dean_Eng!U27+ArchitectConst!U27+BAE!U27+Chemical!U27+Civil!U27+Comp_Sci!U27+Elec!U27+Industrial!U27+Mech!U27</f>
        <v>28453474</v>
      </c>
      <c r="V27" s="394">
        <f>Dean_Eng!V27+ArchitectConst!V27+BAE!V27+Chemical!V27+Civil!V27+Comp_Sci!V27+Elec!V27+Industrial!V27+Mech!V27</f>
        <v>221</v>
      </c>
      <c r="W27" s="441">
        <f>Dean_Eng!W27+ArchitectConst!W27+BAE!W27+Chemical!W27+Civil!W27+Comp_Sci!W27+Elec!W27+Industrial!W27+Mech!W27</f>
        <v>30571863</v>
      </c>
      <c r="X27" s="394">
        <f>Dean_Eng!X27+ArchitectConst!X27+BAE!X27+Chemical!X27+Civil!X27+Comp_Sci!X27+Elec!X27+Industrial!X27+Mech!X27</f>
        <v>246</v>
      </c>
      <c r="Y27" s="441">
        <f>Dean_Eng!Y27+ArchitectConst!Y27+BAE!Y27+Chemical!Y27+Civil!Y27+Comp_Sci!Y27+Elec!Y27+Industrial!Y27+Mech!Y27</f>
        <v>33136359</v>
      </c>
      <c r="Z27" s="394">
        <f>Dean_Eng!Z27+ArchitectConst!Z27+BAE!Z27+Chemical!Z27+Civil!Z27+Comp_Sci!Z27+Elec!Z27+Industrial!Z27+Mech!Z27</f>
        <v>338</v>
      </c>
      <c r="AA27" s="441">
        <f>Dean_Eng!AA27+ArchitectConst!AA27+BAE!AA27+Chemical!AA27+Civil!AA27+Comp_Sci!AA27+Elec!AA27+Industrial!AA27+Mech!AA27</f>
        <v>36892210</v>
      </c>
      <c r="AB27" s="521"/>
      <c r="AC27" s="442"/>
      <c r="AD27" s="349"/>
      <c r="AE27" s="283">
        <f>AVERAGE(T27,R27,Z27,X27,V27)</f>
        <v>246.6</v>
      </c>
      <c r="AF27" s="351">
        <f t="shared" ref="AF27:AF28" si="4">AVERAGE(U27,AA27,S27,W27,Y27)</f>
        <v>32402215.199999999</v>
      </c>
      <c r="AG27" s="237">
        <f t="shared" ref="AG27:AG28" si="5">+(AA27-S27)/S27</f>
        <v>0.11939860127553428</v>
      </c>
    </row>
    <row r="28" spans="1:33" ht="15" customHeight="1" thickBot="1" x14ac:dyDescent="0.25">
      <c r="A28" s="71" t="s">
        <v>54</v>
      </c>
      <c r="B28" s="148"/>
      <c r="C28" s="34"/>
      <c r="D28" s="157"/>
      <c r="E28" s="51"/>
      <c r="F28" s="324"/>
      <c r="G28" s="261"/>
      <c r="H28" s="188"/>
      <c r="I28" s="189"/>
      <c r="J28" s="188"/>
      <c r="K28" s="189"/>
      <c r="L28" s="188">
        <f>Dean_Eng!L28+ArchitectConst!L28+BAE!L28+Chemical!L28+Civil!L28+Comp_Sci!L28+Elec!L28+Industrial!L28+Mech!L28</f>
        <v>129</v>
      </c>
      <c r="M28" s="189">
        <f>Dean_Eng!M28+ArchitectConst!M28+BAE!M28+Chemical!M28+Civil!M28+Comp_Sci!M28+Elec!M28+Industrial!M28+Mech!M28</f>
        <v>13864561</v>
      </c>
      <c r="N28" s="311">
        <f>Dean_Eng!N28+ArchitectConst!N28+BAE!N28+Chemical!N28+Civil!N28+Comp_Sci!N28+Elec!N28+Industrial!N28+Mech!N28</f>
        <v>141</v>
      </c>
      <c r="O28" s="399">
        <f>Dean_Eng!O28+ArchitectConst!O28+BAE!O28+Chemical!O28+Civil!O28+Comp_Sci!O28+Elec!O28+Industrial!O28+Mech!O28</f>
        <v>17280670</v>
      </c>
      <c r="P28" s="311">
        <f>Dean_Eng!P28+ArchitectConst!P28+BAE!P28+Chemical!P28+Civil!P28+Comp_Sci!P28+Elec!P28+Industrial!P28+Mech!P28</f>
        <v>151</v>
      </c>
      <c r="Q28" s="399">
        <f>Dean_Eng!Q28+ArchitectConst!Q28+BAE!Q28+Chemical!Q28+Civil!Q28+Comp_Sci!Q28+Elec!Q28+Industrial!Q28+Mech!Q28</f>
        <v>16790170</v>
      </c>
      <c r="R28" s="311">
        <f>Dean_Eng!R28+ArchitectConst!R28+BAE!R28+Chemical!R28+Civil!R28+Comp_Sci!R28+Elec!R28+Industrial!R28+Mech!R28</f>
        <v>147</v>
      </c>
      <c r="S28" s="399">
        <f>Dean_Eng!S28+ArchitectConst!S28+BAE!S28+Chemical!S28+Civil!S28+Comp_Sci!S28+Elec!S28+Industrial!S28+Mech!S28</f>
        <v>18288518</v>
      </c>
      <c r="T28" s="311">
        <f>Dean_Eng!T28+ArchitectConst!T28+BAE!T28+Chemical!T28+Civil!T28+Comp_Sci!T28+Elec!T28+Industrial!T28+Mech!T28</f>
        <v>117</v>
      </c>
      <c r="U28" s="399">
        <f>Dean_Eng!U28+ArchitectConst!U28+BAE!U28+Chemical!U28+Civil!U28+Comp_Sci!U28+Elec!U28+Industrial!U28+Mech!U28</f>
        <v>20462809</v>
      </c>
      <c r="V28" s="311">
        <f>Dean_Eng!V28+ArchitectConst!V28+BAE!V28+Chemical!V28+Civil!V28+Comp_Sci!V28+Elec!V28+Industrial!V28+Mech!V28</f>
        <v>107</v>
      </c>
      <c r="W28" s="399">
        <f>Dean_Eng!W28+ArchitectConst!W28+BAE!W28+Chemical!W28+Civil!W28+Comp_Sci!W28+Elec!W28+Industrial!W28+Mech!W28</f>
        <v>11185082</v>
      </c>
      <c r="X28" s="311">
        <f>Dean_Eng!X28+ArchitectConst!X28+BAE!X28+Chemical!X28+Civil!X28+Comp_Sci!X28+Elec!X28+Industrial!X28+Mech!X28</f>
        <v>112</v>
      </c>
      <c r="Y28" s="399">
        <f>Dean_Eng!Y28+ArchitectConst!Y28+BAE!Y28+Chemical!Y28+Civil!Y28+Comp_Sci!Y28+Elec!Y28+Industrial!Y28+Mech!Y28</f>
        <v>9596196</v>
      </c>
      <c r="Z28" s="311">
        <f>Dean_Eng!Z28+ArchitectConst!Z28+BAE!Z28+Chemical!Z28+Civil!Z28+Comp_Sci!Z28+Elec!Z28+Industrial!Z28+Mech!Z28</f>
        <v>178</v>
      </c>
      <c r="AA28" s="399">
        <f>Dean_Eng!AA28+ArchitectConst!AA28+BAE!AA28+Chemical!AA28+Civil!AA28+Comp_Sci!AA28+Elec!AA28+Industrial!AA28+Mech!AA28</f>
        <v>19796847</v>
      </c>
      <c r="AB28" s="522"/>
      <c r="AC28" s="443"/>
      <c r="AD28" s="349"/>
      <c r="AE28" s="283">
        <f>AVERAGE(T28,R28,Z28,X28,V28)</f>
        <v>132.19999999999999</v>
      </c>
      <c r="AF28" s="411">
        <f t="shared" si="4"/>
        <v>15865890.4</v>
      </c>
      <c r="AG28" s="237">
        <f t="shared" si="5"/>
        <v>8.247409658890896E-2</v>
      </c>
    </row>
    <row r="29" spans="1:33" ht="18" customHeight="1" thickTop="1" thickBot="1" x14ac:dyDescent="0.25">
      <c r="A29" s="119" t="s">
        <v>15</v>
      </c>
      <c r="B29" s="545"/>
      <c r="C29" s="546"/>
      <c r="D29" s="558"/>
      <c r="E29" s="546"/>
      <c r="F29" s="553"/>
      <c r="G29" s="554"/>
      <c r="H29" s="553"/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7"/>
      <c r="Y29" s="579"/>
      <c r="Z29" s="537"/>
      <c r="AA29" s="579"/>
      <c r="AB29" s="537"/>
      <c r="AC29" s="538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/>
      <c r="D30" s="7"/>
      <c r="E30" s="50"/>
      <c r="F30" s="56"/>
      <c r="G30" s="103"/>
      <c r="H30" s="85"/>
      <c r="I30" s="105"/>
      <c r="J30" s="56"/>
      <c r="K30" s="105"/>
      <c r="L30" s="56"/>
      <c r="M30" s="336">
        <f>Dean_Eng!M30+ArchitectConst!M30+BAE!M30+Chemical!M30+Civil!M30+Comp_Sci!M30+Elec!M30+Industrial!M30+Mech!M30</f>
        <v>7840968</v>
      </c>
      <c r="N30" s="345"/>
      <c r="O30" s="523">
        <f>Dean_Eng!O30+ArchitectConst!O30+BAE!O30+Chemical!O30+Civil!O30+Comp_Sci!O30+Elec!O30+Industrial!O30+Mech!O30</f>
        <v>7505352</v>
      </c>
      <c r="P30" s="345"/>
      <c r="Q30" s="523">
        <f>Dean_Eng!Q30+ArchitectConst!Q30+BAE!Q30+Chemical!Q30+Civil!Q30+Comp_Sci!Q30+Elec!Q30+Industrial!Q30+Mech!Q30</f>
        <v>9565522.7199999988</v>
      </c>
      <c r="R30" s="345"/>
      <c r="S30" s="523">
        <f>Dean_Eng!S30+ArchitectConst!S30+BAE!S30+Chemical!S30+Civil!S30+Comp_Sci!S30+Elec!S30+Industrial!S30+Mech!S30</f>
        <v>10381683.850000001</v>
      </c>
      <c r="T30" s="345"/>
      <c r="U30" s="523">
        <f>Dean_Eng!U30+ArchitectConst!U30+BAE!U30+Chemical!U30+Civil!U30+Comp_Sci!U30+Elec!U30+Industrial!U30+Mech!U30</f>
        <v>10354748.42</v>
      </c>
      <c r="V30" s="345"/>
      <c r="W30" s="523">
        <f>Dean_Eng!W30+ArchitectConst!W30+BAE!W30+Chemical!W30+Civil!W30+Comp_Sci!W30+Elec!W30+Industrial!W30+Mech!W30</f>
        <v>8979883.0600000005</v>
      </c>
      <c r="X30" s="345"/>
      <c r="Y30" s="523">
        <f>Dean_Eng!Y30+ArchitectConst!Y30+BAE!Y30+Chemical!Y30+Civil!Y30+Comp_Sci!Y30+Elec!Y30+Industrial!Y30+Mech!Y30</f>
        <v>12380090.77</v>
      </c>
      <c r="Z30" s="345"/>
      <c r="AA30" s="523">
        <f>Dean_Eng!AA30+ArchitectConst!AA30+BAE!AA30+Chemical!AA30+Civil!AA30+Comp_Sci!AA30+Elec!AA30+Industrial!AA30+Mech!AA30</f>
        <v>17098068.5</v>
      </c>
      <c r="AB30" s="379"/>
      <c r="AC30" s="524"/>
      <c r="AD30" s="349"/>
      <c r="AE30" s="350"/>
      <c r="AF30" s="406">
        <f t="shared" ref="AF30:AF31" si="6">AVERAGE(U30,AA30,S30,W30,Y30)</f>
        <v>11838894.920000002</v>
      </c>
      <c r="AG30" s="245">
        <f t="shared" ref="AG30:AG31" si="7">+(AA30-S30)/S30</f>
        <v>0.64694559640245619</v>
      </c>
    </row>
    <row r="31" spans="1:33" ht="15" customHeight="1" thickBot="1" x14ac:dyDescent="0.25">
      <c r="A31" s="71" t="s">
        <v>17</v>
      </c>
      <c r="B31" s="30"/>
      <c r="C31" s="34"/>
      <c r="D31" s="8"/>
      <c r="E31" s="58"/>
      <c r="F31" s="57"/>
      <c r="G31" s="58"/>
      <c r="H31" s="57"/>
      <c r="I31" s="58"/>
      <c r="J31" s="57"/>
      <c r="K31" s="58"/>
      <c r="L31" s="57"/>
      <c r="M31" s="337">
        <f>Dean_Eng!M31+ArchitectConst!M31+BAE!M31+Chemical!M31+Civil!M31+Comp_Sci!M31+Elec!M31+Industrial!M31+Mech!M31</f>
        <v>8334565.1100000003</v>
      </c>
      <c r="N31" s="449"/>
      <c r="O31" s="525">
        <f>Dean_Eng!O31+ArchitectConst!O31+BAE!O31+Chemical!O31+Civil!O31+Comp_Sci!O31+Elec!O31+Industrial!O31+Mech!O31</f>
        <v>9935857</v>
      </c>
      <c r="P31" s="449"/>
      <c r="Q31" s="525">
        <f>Dean_Eng!Q31+ArchitectConst!Q31+BAE!Q31+Chemical!Q31+Civil!Q31+Comp_Sci!Q31+Elec!Q31+Industrial!Q31+Mech!Q31</f>
        <v>12755776.029999999</v>
      </c>
      <c r="R31" s="449"/>
      <c r="S31" s="525">
        <f>Dean_Eng!S31+ArchitectConst!S31+BAE!S31+Chemical!S31+Civil!S31+Comp_Sci!S31+Elec!S31+Industrial!S31+Mech!S31</f>
        <v>12493969.350000001</v>
      </c>
      <c r="T31" s="449"/>
      <c r="U31" s="525">
        <f>Dean_Eng!U31+ArchitectConst!U31+BAE!U31+Chemical!U31+Civil!U31+Comp_Sci!U31+Elec!U31+Industrial!U31+Mech!U31</f>
        <v>14224873.98</v>
      </c>
      <c r="V31" s="449"/>
      <c r="W31" s="525">
        <f>Dean_Eng!W31+ArchitectConst!W31+BAE!W31+Chemical!W31+Civil!W31+Comp_Sci!W31+Elec!W31+Industrial!W31+Mech!W31</f>
        <v>17359261.469999999</v>
      </c>
      <c r="X31" s="449"/>
      <c r="Y31" s="525">
        <f>Dean_Eng!Y31+ArchitectConst!Y31+BAE!Y31+Chemical!Y31+Civil!Y31+Comp_Sci!Y31+Elec!Y31+Industrial!Y31+Mech!Y31</f>
        <v>18715136.739999998</v>
      </c>
      <c r="Z31" s="449"/>
      <c r="AA31" s="525">
        <f>Dean_Eng!AA31+ArchitectConst!AA31+BAE!AA31+Chemical!AA31+Civil!AA31+Comp_Sci!AA31+Elec!AA31+Industrial!AA31+Mech!AA31</f>
        <v>18344024</v>
      </c>
      <c r="AB31" s="434"/>
      <c r="AC31" s="526"/>
      <c r="AD31" s="349"/>
      <c r="AE31" s="386"/>
      <c r="AF31" s="411">
        <f t="shared" si="6"/>
        <v>16227453.107999999</v>
      </c>
      <c r="AG31" s="247">
        <f t="shared" si="7"/>
        <v>0.46823027063052608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</sheetData>
  <mergeCells count="45"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L22:M22"/>
    <mergeCell ref="N22:O22"/>
    <mergeCell ref="P22:Q22"/>
    <mergeCell ref="N9:O9"/>
    <mergeCell ref="P9:Q9"/>
    <mergeCell ref="B22:C22"/>
    <mergeCell ref="D22:E22"/>
    <mergeCell ref="F22:G22"/>
    <mergeCell ref="H22:I22"/>
    <mergeCell ref="J22:K22"/>
    <mergeCell ref="R22:S22"/>
    <mergeCell ref="T22:U22"/>
    <mergeCell ref="V22:W22"/>
    <mergeCell ref="X22:Y22"/>
    <mergeCell ref="Z22:AA22"/>
    <mergeCell ref="X29:Y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AB9:AC9"/>
    <mergeCell ref="AB22:AC22"/>
    <mergeCell ref="AB29:AC29"/>
    <mergeCell ref="Z29:AA29"/>
    <mergeCell ref="AE29:AF29"/>
    <mergeCell ref="AE22:AF22"/>
    <mergeCell ref="Z9:AA9"/>
    <mergeCell ref="AE9:AF9"/>
  </mergeCells>
  <printOptions horizontalCentered="1" verticalCentered="1"/>
  <pageMargins left="0.5" right="0.5" top="0.25" bottom="0.87" header="0.5" footer="0.25"/>
  <pageSetup scale="68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3"/>
  <sheetViews>
    <sheetView zoomScaleNormal="100" zoomScaleSheetLayoutView="95" workbookViewId="0">
      <pane xSplit="1" ySplit="2" topLeftCell="N18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2.4257812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1" width="5.7109375" style="1" customWidth="1"/>
    <col min="32" max="32" width="10.7109375" style="1" customWidth="1"/>
    <col min="33" max="33" width="11.5703125" style="1" bestFit="1" customWidth="1"/>
    <col min="34" max="16384" width="10.28515625" style="1"/>
  </cols>
  <sheetData>
    <row r="1" spans="1:33" ht="15.75" x14ac:dyDescent="0.25">
      <c r="A1" s="251" t="s">
        <v>48</v>
      </c>
    </row>
    <row r="2" spans="1:33" ht="18" x14ac:dyDescent="0.25">
      <c r="A2" s="251" t="s">
        <v>49</v>
      </c>
      <c r="B2" s="124"/>
      <c r="C2" s="124"/>
      <c r="D2" s="124"/>
      <c r="E2" s="124"/>
      <c r="F2" s="124"/>
      <c r="G2" s="124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x14ac:dyDescent="0.2">
      <c r="A3" s="16"/>
      <c r="B3" s="1"/>
      <c r="C3" s="1"/>
      <c r="D3" s="1"/>
      <c r="E3" s="1"/>
      <c r="F3" s="37"/>
      <c r="G3" s="37"/>
      <c r="H3" s="37"/>
      <c r="I3" s="37"/>
    </row>
    <row r="4" spans="1:33" s="3" customFormat="1" ht="15.75" x14ac:dyDescent="0.25">
      <c r="A4" s="252" t="s">
        <v>50</v>
      </c>
      <c r="F4" s="13"/>
      <c r="G4" s="13"/>
      <c r="H4" s="13"/>
      <c r="I4" s="13"/>
      <c r="AG4" s="1"/>
    </row>
    <row r="5" spans="1:33" ht="12" x14ac:dyDescent="0.2">
      <c r="A5" s="122"/>
      <c r="B5" s="14"/>
      <c r="C5" s="159"/>
      <c r="D5" s="14"/>
      <c r="E5" s="159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9"/>
      <c r="U5" s="80"/>
      <c r="V5" s="79"/>
      <c r="W5" s="80"/>
      <c r="X5" s="79"/>
      <c r="Y5" s="80"/>
      <c r="Z5" s="79"/>
      <c r="AA5" s="80"/>
      <c r="AB5" s="79"/>
      <c r="AC5" s="80"/>
    </row>
    <row r="6" spans="1:33" x14ac:dyDescent="0.2">
      <c r="A6" s="16" t="s">
        <v>21</v>
      </c>
      <c r="B6" s="3"/>
      <c r="C6" s="3"/>
      <c r="D6" s="3"/>
      <c r="E6" s="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3" x14ac:dyDescent="0.2">
      <c r="A7" s="333">
        <v>3670045040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58"/>
      <c r="F9" s="543" t="s">
        <v>20</v>
      </c>
      <c r="G9" s="540"/>
      <c r="H9" s="543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x14ac:dyDescent="0.2">
      <c r="A10" s="253" t="s">
        <v>8</v>
      </c>
      <c r="B10" s="284"/>
      <c r="C10" s="285"/>
      <c r="D10" s="286"/>
      <c r="E10" s="286"/>
      <c r="F10" s="279"/>
      <c r="G10" s="281"/>
      <c r="H10" s="280"/>
      <c r="I10" s="280"/>
      <c r="J10" s="279"/>
      <c r="K10" s="280"/>
      <c r="L10" s="279"/>
      <c r="M10" s="281"/>
      <c r="N10" s="413"/>
      <c r="O10" s="414"/>
      <c r="P10" s="413"/>
      <c r="Q10" s="414"/>
      <c r="R10" s="413"/>
      <c r="S10" s="414"/>
      <c r="T10" s="413"/>
      <c r="U10" s="414"/>
      <c r="V10" s="413"/>
      <c r="W10" s="414"/>
      <c r="X10" s="413"/>
      <c r="Y10" s="414"/>
      <c r="Z10" s="413"/>
      <c r="AA10" s="414"/>
      <c r="AB10" s="413"/>
      <c r="AC10" s="415"/>
      <c r="AD10" s="349"/>
      <c r="AE10" s="416"/>
      <c r="AF10" s="417"/>
      <c r="AG10" s="235"/>
    </row>
    <row r="11" spans="1:33" ht="15" customHeight="1" x14ac:dyDescent="0.2">
      <c r="A11" s="68" t="s">
        <v>9</v>
      </c>
      <c r="B11" s="20"/>
      <c r="C11" s="21"/>
      <c r="D11" s="5"/>
      <c r="E11" s="5"/>
      <c r="F11" s="49"/>
      <c r="G11" s="47"/>
      <c r="H11" s="40"/>
      <c r="I11" s="40"/>
      <c r="J11" s="49"/>
      <c r="K11" s="40"/>
      <c r="L11" s="49"/>
      <c r="M11" s="47"/>
      <c r="N11" s="367"/>
      <c r="O11" s="418"/>
      <c r="P11" s="367"/>
      <c r="Q11" s="418"/>
      <c r="R11" s="367"/>
      <c r="S11" s="418"/>
      <c r="T11" s="367"/>
      <c r="U11" s="418"/>
      <c r="V11" s="367"/>
      <c r="W11" s="418"/>
      <c r="X11" s="367"/>
      <c r="Y11" s="418"/>
      <c r="Z11" s="367"/>
      <c r="AA11" s="418"/>
      <c r="AB11" s="367"/>
      <c r="AC11" s="419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v>1197702</v>
      </c>
      <c r="D12" s="4"/>
      <c r="E12" s="31">
        <v>1343980</v>
      </c>
      <c r="F12" s="48"/>
      <c r="G12" s="73">
        <v>1393153</v>
      </c>
      <c r="H12" s="39"/>
      <c r="I12" s="76">
        <v>1668117</v>
      </c>
      <c r="J12" s="48"/>
      <c r="K12" s="76">
        <v>1756997</v>
      </c>
      <c r="L12" s="48"/>
      <c r="M12" s="73">
        <v>1847591</v>
      </c>
      <c r="N12" s="345"/>
      <c r="O12" s="352">
        <v>1778468</v>
      </c>
      <c r="P12" s="345"/>
      <c r="Q12" s="352">
        <v>1852530</v>
      </c>
      <c r="R12" s="345"/>
      <c r="S12" s="352">
        <v>1903788</v>
      </c>
      <c r="T12" s="345"/>
      <c r="U12" s="352">
        <v>1953410</v>
      </c>
      <c r="V12" s="345"/>
      <c r="W12" s="352">
        <v>1931156</v>
      </c>
      <c r="X12" s="345"/>
      <c r="Y12" s="352">
        <v>2114589</v>
      </c>
      <c r="Z12" s="345"/>
      <c r="AA12" s="352">
        <v>2170530</v>
      </c>
      <c r="AB12" s="345"/>
      <c r="AC12" s="353">
        <v>1838373</v>
      </c>
      <c r="AD12" s="349"/>
      <c r="AE12" s="350"/>
      <c r="AF12" s="351">
        <f>AVERAGE(W12,U12,Y12,AC12,AA12)</f>
        <v>2001611.6</v>
      </c>
      <c r="AG12" s="237">
        <f>+(AC12-U12)/U12</f>
        <v>-5.8890350720022931E-2</v>
      </c>
    </row>
    <row r="13" spans="1:33" ht="15" customHeight="1" x14ac:dyDescent="0.2">
      <c r="A13" s="69" t="s">
        <v>30</v>
      </c>
      <c r="B13" s="19"/>
      <c r="C13" s="22"/>
      <c r="D13" s="4"/>
      <c r="E13" s="31"/>
      <c r="F13" s="48"/>
      <c r="G13" s="73"/>
      <c r="H13" s="39"/>
      <c r="I13" s="76"/>
      <c r="J13" s="48"/>
      <c r="K13" s="76"/>
      <c r="L13" s="48"/>
      <c r="M13" s="73"/>
      <c r="N13" s="345"/>
      <c r="O13" s="352"/>
      <c r="P13" s="345"/>
      <c r="Q13" s="352"/>
      <c r="R13" s="345"/>
      <c r="S13" s="352"/>
      <c r="T13" s="345"/>
      <c r="U13" s="352"/>
      <c r="V13" s="345"/>
      <c r="W13" s="352"/>
      <c r="X13" s="345"/>
      <c r="Y13" s="352"/>
      <c r="Z13" s="345"/>
      <c r="AA13" s="352"/>
      <c r="AB13" s="345"/>
      <c r="AC13" s="353"/>
      <c r="AD13" s="349"/>
      <c r="AE13" s="354"/>
      <c r="AF13" s="351"/>
      <c r="AG13" s="236"/>
    </row>
    <row r="14" spans="1:33" ht="27" customHeight="1" thickBot="1" x14ac:dyDescent="0.25">
      <c r="A14" s="195" t="s">
        <v>31</v>
      </c>
      <c r="B14" s="196"/>
      <c r="C14" s="197">
        <v>76918</v>
      </c>
      <c r="D14" s="138"/>
      <c r="E14" s="288">
        <v>256125</v>
      </c>
      <c r="F14" s="198"/>
      <c r="G14" s="199">
        <v>266660</v>
      </c>
      <c r="H14" s="200"/>
      <c r="I14" s="201">
        <v>299671</v>
      </c>
      <c r="J14" s="198"/>
      <c r="K14" s="201">
        <v>422471</v>
      </c>
      <c r="L14" s="198"/>
      <c r="M14" s="199">
        <v>429275</v>
      </c>
      <c r="N14" s="355"/>
      <c r="O14" s="356">
        <v>335523</v>
      </c>
      <c r="P14" s="355"/>
      <c r="Q14" s="356">
        <v>303870</v>
      </c>
      <c r="R14" s="355"/>
      <c r="S14" s="356">
        <v>299634</v>
      </c>
      <c r="T14" s="355"/>
      <c r="U14" s="356">
        <v>299420</v>
      </c>
      <c r="V14" s="355"/>
      <c r="W14" s="356">
        <v>395676</v>
      </c>
      <c r="X14" s="355"/>
      <c r="Y14" s="356">
        <v>307640</v>
      </c>
      <c r="Z14" s="355"/>
      <c r="AA14" s="356">
        <v>143220</v>
      </c>
      <c r="AB14" s="355"/>
      <c r="AC14" s="357">
        <v>197847</v>
      </c>
      <c r="AD14" s="349"/>
      <c r="AE14" s="358"/>
      <c r="AF14" s="359">
        <f t="shared" ref="AF14:AF21" si="0">AVERAGE(W14,U14,Y14,AC14,AA14)</f>
        <v>268760.59999999998</v>
      </c>
      <c r="AG14" s="237">
        <f t="shared" ref="AG14:AG21" si="1">+(AC14-U14)/U14</f>
        <v>-0.33923251619798278</v>
      </c>
    </row>
    <row r="15" spans="1:33" ht="18.75" customHeight="1" thickBot="1" x14ac:dyDescent="0.25">
      <c r="A15" s="205" t="s">
        <v>11</v>
      </c>
      <c r="B15" s="206"/>
      <c r="C15" s="207">
        <f>SUM(C12:C14)</f>
        <v>1274620</v>
      </c>
      <c r="D15" s="274"/>
      <c r="E15" s="291">
        <f>SUM(E12:E14)</f>
        <v>1600105</v>
      </c>
      <c r="F15" s="209"/>
      <c r="G15" s="210">
        <f>SUM(G12:G14)</f>
        <v>1659813</v>
      </c>
      <c r="H15" s="211"/>
      <c r="I15" s="212">
        <f>SUM(I12:I14)</f>
        <v>1967788</v>
      </c>
      <c r="J15" s="209"/>
      <c r="K15" s="212">
        <f>SUM(K12:K14)</f>
        <v>2179468</v>
      </c>
      <c r="L15" s="209"/>
      <c r="M15" s="210">
        <f>SUM(M12:M14)</f>
        <v>2276866</v>
      </c>
      <c r="N15" s="360"/>
      <c r="O15" s="361">
        <f>SUM(O12:O14)</f>
        <v>2113991</v>
      </c>
      <c r="P15" s="360"/>
      <c r="Q15" s="361">
        <f>SUM(Q12:Q14)</f>
        <v>2156400</v>
      </c>
      <c r="R15" s="360"/>
      <c r="S15" s="361">
        <f>SUM(S12:S14)</f>
        <v>2203422</v>
      </c>
      <c r="T15" s="360"/>
      <c r="U15" s="361">
        <f>SUM(U12:U14)</f>
        <v>2252830</v>
      </c>
      <c r="V15" s="360"/>
      <c r="W15" s="361">
        <f>SUM(W12:W14)</f>
        <v>2326832</v>
      </c>
      <c r="X15" s="360"/>
      <c r="Y15" s="361">
        <f>SUM(Y12:Y14)</f>
        <v>2422229</v>
      </c>
      <c r="Z15" s="360"/>
      <c r="AA15" s="361">
        <f>SUM(AA12:AA14)</f>
        <v>2313750</v>
      </c>
      <c r="AB15" s="360"/>
      <c r="AC15" s="362">
        <f>SUM(AC12:AC14)</f>
        <v>2036220</v>
      </c>
      <c r="AD15" s="349"/>
      <c r="AE15" s="363"/>
      <c r="AF15" s="364">
        <f t="shared" si="0"/>
        <v>2270372.2000000002</v>
      </c>
      <c r="AG15" s="238">
        <f t="shared" si="1"/>
        <v>-9.615017555696613E-2</v>
      </c>
    </row>
    <row r="16" spans="1:33" ht="15" customHeight="1" x14ac:dyDescent="0.2">
      <c r="A16" s="203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/>
      <c r="D17" s="5"/>
      <c r="E17" s="32"/>
      <c r="F17" s="49"/>
      <c r="G17" s="74"/>
      <c r="H17" s="40"/>
      <c r="I17" s="77"/>
      <c r="J17" s="49"/>
      <c r="K17" s="77"/>
      <c r="L17" s="49"/>
      <c r="M17" s="74"/>
      <c r="N17" s="367"/>
      <c r="O17" s="368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5" customHeight="1" x14ac:dyDescent="0.2">
      <c r="A18" s="69" t="s">
        <v>30</v>
      </c>
      <c r="B18" s="20"/>
      <c r="C18" s="23"/>
      <c r="D18" s="5"/>
      <c r="E18" s="32"/>
      <c r="F18" s="49"/>
      <c r="G18" s="74"/>
      <c r="H18" s="40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7" customHeight="1" thickBot="1" x14ac:dyDescent="0.25">
      <c r="A19" s="195" t="s">
        <v>31</v>
      </c>
      <c r="B19" s="196"/>
      <c r="C19" s="197"/>
      <c r="D19" s="138"/>
      <c r="E19" s="288"/>
      <c r="F19" s="198"/>
      <c r="G19" s="199"/>
      <c r="H19" s="200"/>
      <c r="I19" s="201"/>
      <c r="J19" s="198"/>
      <c r="K19" s="201"/>
      <c r="L19" s="198"/>
      <c r="M19" s="199"/>
      <c r="N19" s="35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0</v>
      </c>
      <c r="D20" s="274"/>
      <c r="E20" s="291">
        <f>SUM(E17:E19)</f>
        <v>0</v>
      </c>
      <c r="F20" s="209"/>
      <c r="G20" s="210">
        <f>SUM(G17:G19)</f>
        <v>0</v>
      </c>
      <c r="H20" s="211"/>
      <c r="I20" s="212">
        <f>SUM(I17:I19)</f>
        <v>0</v>
      </c>
      <c r="J20" s="209"/>
      <c r="K20" s="212">
        <f>SUM(K17:K19)</f>
        <v>0</v>
      </c>
      <c r="L20" s="209"/>
      <c r="M20" s="210">
        <f>SUM(M17:M19)</f>
        <v>0</v>
      </c>
      <c r="N20" s="360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289" t="s">
        <v>14</v>
      </c>
      <c r="B21" s="267"/>
      <c r="C21" s="268">
        <f>SUM(C15,C20)</f>
        <v>1274620</v>
      </c>
      <c r="D21" s="269"/>
      <c r="E21" s="290">
        <f>SUM(E15,E20)</f>
        <v>1600105</v>
      </c>
      <c r="F21" s="273"/>
      <c r="G21" s="271">
        <f>SUM(G15,G20)</f>
        <v>1659813</v>
      </c>
      <c r="H21" s="270"/>
      <c r="I21" s="272">
        <f>SUM(I15,I20)</f>
        <v>1967788</v>
      </c>
      <c r="J21" s="273"/>
      <c r="K21" s="272">
        <f>SUM(K15,K20)</f>
        <v>2179468</v>
      </c>
      <c r="L21" s="273"/>
      <c r="M21" s="271">
        <f>SUM(M15,M20)</f>
        <v>2276866</v>
      </c>
      <c r="N21" s="420"/>
      <c r="O21" s="421">
        <f>SUM(O15,O20)</f>
        <v>2113991</v>
      </c>
      <c r="P21" s="420"/>
      <c r="Q21" s="421">
        <f>SUM(Q15,Q20)</f>
        <v>2156400</v>
      </c>
      <c r="R21" s="420"/>
      <c r="S21" s="421">
        <f>SUM(S15,S20)</f>
        <v>2203422</v>
      </c>
      <c r="T21" s="420"/>
      <c r="U21" s="421">
        <f>SUM(U15,U20)</f>
        <v>2252830</v>
      </c>
      <c r="V21" s="420"/>
      <c r="W21" s="421">
        <f>SUM(W15,W20)</f>
        <v>2326832</v>
      </c>
      <c r="X21" s="420"/>
      <c r="Y21" s="421">
        <f>SUM(Y15,Y20)</f>
        <v>2422229</v>
      </c>
      <c r="Z21" s="420"/>
      <c r="AA21" s="421">
        <f>SUM(AA15,AA20)</f>
        <v>2313750</v>
      </c>
      <c r="AB21" s="420"/>
      <c r="AC21" s="422">
        <f>SUM(AC15,AC20)</f>
        <v>2036220</v>
      </c>
      <c r="AD21" s="349"/>
      <c r="AE21" s="373"/>
      <c r="AF21" s="374">
        <f t="shared" si="0"/>
        <v>2270372.2000000002</v>
      </c>
      <c r="AG21" s="242">
        <f t="shared" si="1"/>
        <v>-9.615017555696613E-2</v>
      </c>
    </row>
    <row r="22" spans="1:33" ht="18" customHeight="1" x14ac:dyDescent="0.2">
      <c r="A22" s="264" t="s">
        <v>38</v>
      </c>
      <c r="B22" s="559" t="s">
        <v>6</v>
      </c>
      <c r="C22" s="560"/>
      <c r="D22" s="561" t="s">
        <v>7</v>
      </c>
      <c r="E22" s="560"/>
      <c r="F22" s="552" t="s">
        <v>20</v>
      </c>
      <c r="G22" s="551"/>
      <c r="H22" s="550" t="s">
        <v>22</v>
      </c>
      <c r="I22" s="552"/>
      <c r="J22" s="550" t="s">
        <v>23</v>
      </c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1"/>
      <c r="AC22" s="536"/>
      <c r="AD22" s="349"/>
      <c r="AE22" s="527"/>
      <c r="AF22" s="528"/>
      <c r="AG22" s="243"/>
    </row>
    <row r="23" spans="1:33" ht="15" customHeight="1" x14ac:dyDescent="0.2">
      <c r="A23" s="262" t="s">
        <v>41</v>
      </c>
      <c r="B23" s="24"/>
      <c r="C23" s="25">
        <f>286763+902910</f>
        <v>1189673</v>
      </c>
      <c r="D23" s="6"/>
      <c r="E23" s="15">
        <v>1376825</v>
      </c>
      <c r="F23" s="53"/>
      <c r="G23" s="99">
        <v>1614495.51</v>
      </c>
      <c r="H23" s="107"/>
      <c r="I23" s="107">
        <v>1730109.91</v>
      </c>
      <c r="J23" s="53"/>
      <c r="K23" s="65">
        <f>1550534+19720+58130</f>
        <v>1628384</v>
      </c>
      <c r="L23" s="53"/>
      <c r="M23" s="66">
        <v>2044805</v>
      </c>
      <c r="N23" s="367"/>
      <c r="O23" s="380">
        <v>2014221</v>
      </c>
      <c r="P23" s="453"/>
      <c r="Q23" s="380">
        <v>2060483</v>
      </c>
      <c r="R23" s="453"/>
      <c r="S23" s="380">
        <v>2192984</v>
      </c>
      <c r="T23" s="453"/>
      <c r="U23" s="380">
        <v>2171304</v>
      </c>
      <c r="V23" s="453"/>
      <c r="W23" s="380">
        <v>2211825.17</v>
      </c>
      <c r="X23" s="454"/>
      <c r="Y23" s="455">
        <v>2213596</v>
      </c>
      <c r="Z23" s="454"/>
      <c r="AA23" s="455">
        <v>2050421</v>
      </c>
      <c r="AB23" s="423"/>
      <c r="AC23" s="377"/>
      <c r="AD23" s="349"/>
      <c r="AE23" s="350"/>
      <c r="AF23" s="351">
        <f>AVERAGE(U23,AA23,S23,W23,Y23)</f>
        <v>2168026.034</v>
      </c>
      <c r="AG23" s="237">
        <f>+(AA23-S23)/S23</f>
        <v>-6.5008682233887713E-2</v>
      </c>
    </row>
    <row r="24" spans="1:33" ht="15" customHeight="1" x14ac:dyDescent="0.2">
      <c r="A24" s="262" t="s">
        <v>39</v>
      </c>
      <c r="B24" s="27"/>
      <c r="C24" s="35"/>
      <c r="D24" s="9"/>
      <c r="E24" s="36"/>
      <c r="F24" s="27"/>
      <c r="G24" s="35">
        <v>920.86</v>
      </c>
      <c r="H24" s="27"/>
      <c r="I24" s="35">
        <v>0</v>
      </c>
      <c r="J24" s="27"/>
      <c r="K24" s="35">
        <v>887.32</v>
      </c>
      <c r="L24" s="27"/>
      <c r="M24" s="35">
        <v>0</v>
      </c>
      <c r="N24" s="425"/>
      <c r="O24" s="426">
        <v>4582.58</v>
      </c>
      <c r="P24" s="456"/>
      <c r="Q24" s="426">
        <v>6389.75</v>
      </c>
      <c r="R24" s="456"/>
      <c r="S24" s="426">
        <v>9731.7199999999993</v>
      </c>
      <c r="T24" s="456"/>
      <c r="U24" s="426">
        <v>32979.46</v>
      </c>
      <c r="V24" s="456"/>
      <c r="W24" s="426">
        <v>31218.07</v>
      </c>
      <c r="X24" s="457"/>
      <c r="Y24" s="458">
        <v>42867</v>
      </c>
      <c r="Z24" s="457"/>
      <c r="AA24" s="458">
        <v>73563</v>
      </c>
      <c r="AB24" s="427"/>
      <c r="AC24" s="428"/>
      <c r="AD24" s="349"/>
      <c r="AE24" s="350"/>
      <c r="AF24" s="351">
        <f t="shared" ref="AF24:AF25" si="2">AVERAGE(U24,AA24,S24,W24,Y24)</f>
        <v>38071.85</v>
      </c>
      <c r="AG24" s="237">
        <f t="shared" ref="AG24:AG25" si="3">+(AA24-S24)/S24</f>
        <v>6.5590954117052283</v>
      </c>
    </row>
    <row r="25" spans="1:33" ht="15" customHeight="1" thickBot="1" x14ac:dyDescent="0.25">
      <c r="A25" s="263" t="s">
        <v>40</v>
      </c>
      <c r="B25" s="30"/>
      <c r="C25" s="139"/>
      <c r="D25" s="30"/>
      <c r="E25" s="139"/>
      <c r="F25" s="30"/>
      <c r="G25" s="139"/>
      <c r="H25" s="30"/>
      <c r="I25" s="139"/>
      <c r="J25" s="30"/>
      <c r="K25" s="139">
        <v>0</v>
      </c>
      <c r="L25" s="30"/>
      <c r="M25" s="139">
        <v>0</v>
      </c>
      <c r="N25" s="431"/>
      <c r="O25" s="432">
        <v>0</v>
      </c>
      <c r="P25" s="459"/>
      <c r="Q25" s="432">
        <v>0</v>
      </c>
      <c r="R25" s="459"/>
      <c r="S25" s="432">
        <v>8573.74</v>
      </c>
      <c r="T25" s="459"/>
      <c r="U25" s="432">
        <v>0</v>
      </c>
      <c r="V25" s="459"/>
      <c r="W25" s="432">
        <v>0</v>
      </c>
      <c r="X25" s="460"/>
      <c r="Y25" s="461">
        <v>0</v>
      </c>
      <c r="Z25" s="460"/>
      <c r="AA25" s="461">
        <v>0</v>
      </c>
      <c r="AB25" s="434"/>
      <c r="AC25" s="435"/>
      <c r="AD25" s="349"/>
      <c r="AE25" s="386"/>
      <c r="AF25" s="351">
        <f t="shared" si="2"/>
        <v>1714.748</v>
      </c>
      <c r="AG25" s="237">
        <f t="shared" si="3"/>
        <v>-1</v>
      </c>
    </row>
    <row r="26" spans="1:33" ht="18" customHeight="1" thickTop="1" x14ac:dyDescent="0.2">
      <c r="A26" s="119" t="s">
        <v>51</v>
      </c>
      <c r="B26" s="293" t="s">
        <v>18</v>
      </c>
      <c r="C26" s="294" t="s">
        <v>19</v>
      </c>
      <c r="D26" s="295" t="s">
        <v>18</v>
      </c>
      <c r="E26" s="296" t="s">
        <v>19</v>
      </c>
      <c r="F26" s="297" t="s">
        <v>18</v>
      </c>
      <c r="G26" s="296" t="s">
        <v>19</v>
      </c>
      <c r="H26" s="297" t="s">
        <v>18</v>
      </c>
      <c r="I26" s="296" t="s">
        <v>19</v>
      </c>
      <c r="J26" s="297" t="s">
        <v>18</v>
      </c>
      <c r="K26" s="296" t="s">
        <v>19</v>
      </c>
      <c r="L26" s="298" t="s">
        <v>18</v>
      </c>
      <c r="M26" s="193" t="s">
        <v>19</v>
      </c>
      <c r="N26" s="436" t="s">
        <v>18</v>
      </c>
      <c r="O26" s="437" t="s">
        <v>19</v>
      </c>
      <c r="P26" s="436" t="s">
        <v>18</v>
      </c>
      <c r="Q26" s="437" t="s">
        <v>19</v>
      </c>
      <c r="R26" s="436" t="s">
        <v>18</v>
      </c>
      <c r="S26" s="437" t="s">
        <v>19</v>
      </c>
      <c r="T26" s="436" t="s">
        <v>18</v>
      </c>
      <c r="U26" s="437" t="s">
        <v>19</v>
      </c>
      <c r="V26" s="436" t="s">
        <v>18</v>
      </c>
      <c r="W26" s="437" t="s">
        <v>19</v>
      </c>
      <c r="X26" s="438" t="s">
        <v>18</v>
      </c>
      <c r="Y26" s="439" t="s">
        <v>19</v>
      </c>
      <c r="Z26" s="438" t="s">
        <v>18</v>
      </c>
      <c r="AA26" s="439" t="s">
        <v>19</v>
      </c>
      <c r="AB26" s="438" t="s">
        <v>18</v>
      </c>
      <c r="AC26" s="390" t="s">
        <v>19</v>
      </c>
      <c r="AD26" s="440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44</v>
      </c>
      <c r="B27" s="63">
        <v>0</v>
      </c>
      <c r="C27" s="82">
        <v>0</v>
      </c>
      <c r="D27" s="113">
        <v>0</v>
      </c>
      <c r="E27" s="83">
        <v>21389</v>
      </c>
      <c r="F27" s="87">
        <v>0</v>
      </c>
      <c r="G27" s="91">
        <v>150000</v>
      </c>
      <c r="H27" s="87">
        <v>0</v>
      </c>
      <c r="I27" s="91">
        <v>0</v>
      </c>
      <c r="J27" s="87">
        <v>1</v>
      </c>
      <c r="K27" s="91">
        <v>10327</v>
      </c>
      <c r="L27" s="186">
        <v>0</v>
      </c>
      <c r="M27" s="255">
        <v>0</v>
      </c>
      <c r="N27" s="394">
        <v>1</v>
      </c>
      <c r="O27" s="441">
        <v>9541</v>
      </c>
      <c r="P27" s="394">
        <v>1</v>
      </c>
      <c r="Q27" s="441">
        <v>16046</v>
      </c>
      <c r="R27" s="394">
        <v>1</v>
      </c>
      <c r="S27" s="441">
        <v>30000</v>
      </c>
      <c r="T27" s="394">
        <v>1</v>
      </c>
      <c r="U27" s="441">
        <v>22116</v>
      </c>
      <c r="V27" s="394">
        <v>2</v>
      </c>
      <c r="W27" s="441">
        <v>176311</v>
      </c>
      <c r="X27" s="394">
        <v>3</v>
      </c>
      <c r="Y27" s="441">
        <v>196464</v>
      </c>
      <c r="Z27" s="394">
        <v>2</v>
      </c>
      <c r="AA27" s="441">
        <v>147500</v>
      </c>
      <c r="AB27" s="396"/>
      <c r="AC27" s="442"/>
      <c r="AD27" s="349"/>
      <c r="AE27" s="283">
        <f>AVERAGE(T27,R27,Z27,X27,V27)</f>
        <v>1.8</v>
      </c>
      <c r="AF27" s="398">
        <f t="shared" ref="AF27:AF28" si="4">AVERAGE(U27,AA27,S27,W27,Y27)</f>
        <v>114478.2</v>
      </c>
      <c r="AG27" s="237">
        <f t="shared" ref="AG27:AG28" si="5">+(AA27-S27)/S27</f>
        <v>3.9166666666666665</v>
      </c>
    </row>
    <row r="28" spans="1:33" ht="15" customHeight="1" thickBot="1" x14ac:dyDescent="0.25">
      <c r="A28" s="71" t="s">
        <v>45</v>
      </c>
      <c r="B28" s="148">
        <v>1</v>
      </c>
      <c r="C28" s="34">
        <v>45000</v>
      </c>
      <c r="D28" s="157">
        <v>0</v>
      </c>
      <c r="E28" s="154">
        <v>0</v>
      </c>
      <c r="F28" s="158">
        <v>0</v>
      </c>
      <c r="G28" s="154">
        <v>0</v>
      </c>
      <c r="H28" s="153">
        <v>0</v>
      </c>
      <c r="I28" s="154">
        <v>0</v>
      </c>
      <c r="J28" s="153">
        <v>0</v>
      </c>
      <c r="K28" s="154">
        <v>0</v>
      </c>
      <c r="L28" s="188">
        <v>0</v>
      </c>
      <c r="M28" s="189">
        <v>0</v>
      </c>
      <c r="N28" s="311">
        <v>0</v>
      </c>
      <c r="O28" s="399">
        <v>0</v>
      </c>
      <c r="P28" s="311">
        <v>0</v>
      </c>
      <c r="Q28" s="399">
        <v>0</v>
      </c>
      <c r="R28" s="311">
        <v>2</v>
      </c>
      <c r="S28" s="399">
        <v>60722</v>
      </c>
      <c r="T28" s="311">
        <v>0</v>
      </c>
      <c r="U28" s="399">
        <v>0</v>
      </c>
      <c r="V28" s="311">
        <v>1</v>
      </c>
      <c r="W28" s="399">
        <v>37730</v>
      </c>
      <c r="X28" s="311">
        <v>0</v>
      </c>
      <c r="Y28" s="399">
        <v>0</v>
      </c>
      <c r="Z28" s="311">
        <v>1</v>
      </c>
      <c r="AA28" s="399">
        <v>630000</v>
      </c>
      <c r="AB28" s="400"/>
      <c r="AC28" s="443"/>
      <c r="AD28" s="349"/>
      <c r="AE28" s="283">
        <f>AVERAGE(T28,R28,Z28,X28,V28)</f>
        <v>0.8</v>
      </c>
      <c r="AF28" s="402">
        <f t="shared" si="4"/>
        <v>145690.4</v>
      </c>
      <c r="AG28" s="237">
        <f t="shared" si="5"/>
        <v>9.3751523335858504</v>
      </c>
    </row>
    <row r="29" spans="1:33" ht="18" customHeight="1" thickTop="1" x14ac:dyDescent="0.2">
      <c r="A29" s="119" t="s">
        <v>15</v>
      </c>
      <c r="B29" s="562" t="s">
        <v>6</v>
      </c>
      <c r="C29" s="563"/>
      <c r="D29" s="564" t="s">
        <v>7</v>
      </c>
      <c r="E29" s="563"/>
      <c r="F29" s="555" t="s">
        <v>20</v>
      </c>
      <c r="G29" s="554"/>
      <c r="H29" s="553" t="s">
        <v>22</v>
      </c>
      <c r="I29" s="555"/>
      <c r="J29" s="553" t="s">
        <v>23</v>
      </c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>
        <v>319036.94</v>
      </c>
      <c r="D30" s="7"/>
      <c r="E30" s="50">
        <v>299859</v>
      </c>
      <c r="F30" s="56"/>
      <c r="G30" s="103">
        <v>456164.17</v>
      </c>
      <c r="H30" s="44"/>
      <c r="I30" s="105">
        <v>1056276.1200000001</v>
      </c>
      <c r="J30" s="55"/>
      <c r="K30" s="105">
        <v>1327386.6499999999</v>
      </c>
      <c r="L30" s="55"/>
      <c r="M30" s="131">
        <v>1070342</v>
      </c>
      <c r="N30" s="444"/>
      <c r="O30" s="445">
        <v>534164</v>
      </c>
      <c r="P30" s="444"/>
      <c r="Q30" s="445">
        <v>496461.54</v>
      </c>
      <c r="R30" s="444"/>
      <c r="S30" s="445">
        <v>402572.49</v>
      </c>
      <c r="T30" s="444"/>
      <c r="U30" s="445">
        <v>466289.28</v>
      </c>
      <c r="V30" s="444"/>
      <c r="W30" s="445">
        <v>344663.78</v>
      </c>
      <c r="X30" s="446"/>
      <c r="Y30" s="447">
        <v>284128.06</v>
      </c>
      <c r="Z30" s="446"/>
      <c r="AA30" s="447">
        <v>2579910</v>
      </c>
      <c r="AB30" s="446"/>
      <c r="AC30" s="448"/>
      <c r="AD30" s="349"/>
      <c r="AE30" s="350"/>
      <c r="AF30" s="406">
        <f t="shared" ref="AF30:AF31" si="6">AVERAGE(U30,AA30,S30,W30,Y30)</f>
        <v>815512.72200000018</v>
      </c>
      <c r="AG30" s="245">
        <f t="shared" ref="AG30:AG31" si="7">+(AA30-S30)/S30</f>
        <v>5.4085601080193033</v>
      </c>
    </row>
    <row r="31" spans="1:33" ht="15" customHeight="1" thickBot="1" x14ac:dyDescent="0.25">
      <c r="A31" s="71" t="s">
        <v>17</v>
      </c>
      <c r="B31" s="30"/>
      <c r="C31" s="34">
        <v>1761831.84</v>
      </c>
      <c r="D31" s="8"/>
      <c r="E31" s="51">
        <v>1928700.13</v>
      </c>
      <c r="F31" s="57"/>
      <c r="G31" s="88">
        <v>2103092.98</v>
      </c>
      <c r="H31" s="46"/>
      <c r="I31" s="104">
        <v>2893408.46</v>
      </c>
      <c r="J31" s="57"/>
      <c r="K31" s="104">
        <v>3265957.19</v>
      </c>
      <c r="L31" s="57"/>
      <c r="M31" s="88">
        <v>2447101.83</v>
      </c>
      <c r="N31" s="449"/>
      <c r="O31" s="450">
        <v>2594638</v>
      </c>
      <c r="P31" s="449"/>
      <c r="Q31" s="450">
        <v>2999732.18</v>
      </c>
      <c r="R31" s="449"/>
      <c r="S31" s="450">
        <v>2794938.22</v>
      </c>
      <c r="T31" s="449"/>
      <c r="U31" s="450">
        <v>3023032.05</v>
      </c>
      <c r="V31" s="449"/>
      <c r="W31" s="450">
        <v>3502075.21</v>
      </c>
      <c r="X31" s="433"/>
      <c r="Y31" s="451">
        <v>3612419.04</v>
      </c>
      <c r="Z31" s="433"/>
      <c r="AA31" s="451">
        <v>3364375</v>
      </c>
      <c r="AB31" s="433"/>
      <c r="AC31" s="452"/>
      <c r="AD31" s="349"/>
      <c r="AE31" s="386"/>
      <c r="AF31" s="411">
        <f t="shared" si="6"/>
        <v>3259367.9040000001</v>
      </c>
      <c r="AG31" s="292">
        <f t="shared" si="7"/>
        <v>0.20373859283372631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H9:I9"/>
    <mergeCell ref="D9:E9"/>
    <mergeCell ref="B9:C9"/>
    <mergeCell ref="F9:G9"/>
    <mergeCell ref="N9:O9"/>
    <mergeCell ref="X9:Y9"/>
    <mergeCell ref="AE9:AF9"/>
    <mergeCell ref="Z9:AA9"/>
    <mergeCell ref="L9:M9"/>
    <mergeCell ref="J9:K9"/>
    <mergeCell ref="V9:W9"/>
    <mergeCell ref="R9:S9"/>
    <mergeCell ref="T9:U9"/>
    <mergeCell ref="P9:Q9"/>
    <mergeCell ref="AB9:AC9"/>
  </mergeCells>
  <phoneticPr fontId="0" type="noConversion"/>
  <printOptions horizontalCentered="1" verticalCentered="1"/>
  <pageMargins left="0.5" right="0.5" top="0.5" bottom="0.78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32"/>
  <sheetViews>
    <sheetView zoomScaleNormal="100" zoomScaleSheetLayoutView="100" workbookViewId="0">
      <pane xSplit="5" topLeftCell="F1" activePane="topRight" state="frozen"/>
      <selection activeCell="AA31" sqref="AA31"/>
      <selection pane="topRight" activeCell="AA31" sqref="AA31"/>
    </sheetView>
  </sheetViews>
  <sheetFormatPr defaultColWidth="10.28515625" defaultRowHeight="12.75" x14ac:dyDescent="0.2"/>
  <cols>
    <col min="1" max="1" width="35" style="1" customWidth="1"/>
    <col min="2" max="2" width="7.7109375" hidden="1" customWidth="1"/>
    <col min="3" max="3" width="10.42578125" hidden="1" customWidth="1"/>
    <col min="4" max="4" width="7.7109375" hidden="1" customWidth="1"/>
    <col min="5" max="5" width="10.4257812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251" t="s">
        <v>48</v>
      </c>
    </row>
    <row r="2" spans="1:33" ht="15.75" x14ac:dyDescent="0.25">
      <c r="A2" s="251" t="s">
        <v>49</v>
      </c>
    </row>
    <row r="3" spans="1:33" x14ac:dyDescent="0.2">
      <c r="A3" s="16"/>
    </row>
    <row r="4" spans="1:33" ht="15.75" x14ac:dyDescent="0.25">
      <c r="A4" s="252" t="s">
        <v>50</v>
      </c>
    </row>
    <row r="5" spans="1:33" x14ac:dyDescent="0.2">
      <c r="A5" s="122"/>
      <c r="B5" s="125"/>
      <c r="C5" s="125"/>
      <c r="D5" s="125"/>
      <c r="E5" s="125"/>
      <c r="F5" s="126"/>
      <c r="G5" s="126"/>
      <c r="H5" s="126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33" ht="25.5" x14ac:dyDescent="0.2">
      <c r="A6" s="334" t="s">
        <v>26</v>
      </c>
      <c r="B6" s="1"/>
      <c r="C6" s="1"/>
      <c r="D6" s="1"/>
      <c r="E6" s="1"/>
      <c r="F6" s="37"/>
      <c r="G6" s="37"/>
      <c r="H6" s="37"/>
      <c r="I6" s="37"/>
    </row>
    <row r="7" spans="1:33" x14ac:dyDescent="0.2">
      <c r="A7" s="335">
        <v>3670045020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46"/>
      <c r="F9" s="539" t="s">
        <v>20</v>
      </c>
      <c r="G9" s="540"/>
      <c r="H9" s="543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229"/>
      <c r="F10" s="232"/>
      <c r="G10" s="231"/>
      <c r="H10" s="279"/>
      <c r="I10" s="280"/>
      <c r="J10" s="279"/>
      <c r="K10" s="280"/>
      <c r="L10" s="279"/>
      <c r="M10" s="281"/>
      <c r="N10" s="280"/>
      <c r="O10" s="281"/>
      <c r="P10" s="280"/>
      <c r="Q10" s="281"/>
      <c r="R10" s="280"/>
      <c r="S10" s="281"/>
      <c r="T10" s="280"/>
      <c r="U10" s="281"/>
      <c r="V10" s="280"/>
      <c r="W10" s="281"/>
      <c r="X10" s="280"/>
      <c r="Y10" s="281"/>
      <c r="Z10" s="280"/>
      <c r="AA10" s="281"/>
      <c r="AB10" s="280"/>
      <c r="AC10" s="282"/>
      <c r="AE10" s="248"/>
      <c r="AF10" s="249"/>
      <c r="AG10" s="235"/>
    </row>
    <row r="11" spans="1:33" ht="15" customHeight="1" x14ac:dyDescent="0.2">
      <c r="A11" s="68" t="s">
        <v>9</v>
      </c>
      <c r="B11" s="20"/>
      <c r="C11" s="21"/>
      <c r="D11" s="5"/>
      <c r="E11" s="21"/>
      <c r="F11" s="40"/>
      <c r="G11" s="47"/>
      <c r="H11" s="49"/>
      <c r="I11" s="40"/>
      <c r="J11" s="49"/>
      <c r="K11" s="40"/>
      <c r="L11" s="49"/>
      <c r="M11" s="47"/>
      <c r="N11" s="367"/>
      <c r="O11" s="418"/>
      <c r="P11" s="367"/>
      <c r="Q11" s="418"/>
      <c r="R11" s="367"/>
      <c r="S11" s="418"/>
      <c r="T11" s="367"/>
      <c r="U11" s="418"/>
      <c r="V11" s="367"/>
      <c r="W11" s="418"/>
      <c r="X11" s="367"/>
      <c r="Y11" s="418"/>
      <c r="Z11" s="367"/>
      <c r="AA11" s="418"/>
      <c r="AB11" s="367"/>
      <c r="AC11" s="419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v>613885</v>
      </c>
      <c r="D12" s="4"/>
      <c r="E12" s="22">
        <v>677989</v>
      </c>
      <c r="F12" s="39"/>
      <c r="G12" s="73">
        <v>664811</v>
      </c>
      <c r="H12" s="39"/>
      <c r="I12" s="76">
        <v>690681</v>
      </c>
      <c r="J12" s="48"/>
      <c r="K12" s="76">
        <v>689725</v>
      </c>
      <c r="L12" s="48"/>
      <c r="M12" s="73">
        <v>767165</v>
      </c>
      <c r="N12" s="345"/>
      <c r="O12" s="352">
        <f>729779</f>
        <v>729779</v>
      </c>
      <c r="P12" s="345"/>
      <c r="Q12" s="352">
        <v>707962</v>
      </c>
      <c r="R12" s="345"/>
      <c r="S12" s="352">
        <v>725076</v>
      </c>
      <c r="T12" s="345"/>
      <c r="U12" s="352">
        <v>860234</v>
      </c>
      <c r="V12" s="345"/>
      <c r="W12" s="352">
        <v>847513</v>
      </c>
      <c r="X12" s="345"/>
      <c r="Y12" s="352">
        <v>1104955</v>
      </c>
      <c r="Z12" s="345"/>
      <c r="AA12" s="352">
        <v>971939</v>
      </c>
      <c r="AB12" s="345"/>
      <c r="AC12" s="353">
        <v>1003762</v>
      </c>
      <c r="AD12" s="349"/>
      <c r="AE12" s="350"/>
      <c r="AF12" s="351">
        <f>AVERAGE(W12,U12,Y12,AC12,AA12)</f>
        <v>957680.6</v>
      </c>
      <c r="AG12" s="237">
        <f>+(AC12-U12)/U12</f>
        <v>0.16684762518105539</v>
      </c>
    </row>
    <row r="13" spans="1:33" ht="15" customHeight="1" x14ac:dyDescent="0.2">
      <c r="A13" s="69" t="s">
        <v>30</v>
      </c>
      <c r="B13" s="19"/>
      <c r="C13" s="22"/>
      <c r="D13" s="4"/>
      <c r="E13" s="22"/>
      <c r="F13" s="39"/>
      <c r="G13" s="133"/>
      <c r="H13" s="39"/>
      <c r="I13" s="76">
        <v>0</v>
      </c>
      <c r="J13" s="48"/>
      <c r="K13" s="76"/>
      <c r="L13" s="48"/>
      <c r="M13" s="73"/>
      <c r="N13" s="345"/>
      <c r="O13" s="352"/>
      <c r="P13" s="345"/>
      <c r="Q13" s="352"/>
      <c r="R13" s="345"/>
      <c r="S13" s="352"/>
      <c r="T13" s="345"/>
      <c r="U13" s="352"/>
      <c r="V13" s="345"/>
      <c r="W13" s="352"/>
      <c r="X13" s="345"/>
      <c r="Y13" s="352"/>
      <c r="Z13" s="345"/>
      <c r="AA13" s="352"/>
      <c r="AB13" s="345"/>
      <c r="AC13" s="353"/>
      <c r="AD13" s="349"/>
      <c r="AE13" s="354"/>
      <c r="AF13" s="351"/>
      <c r="AG13" s="236"/>
    </row>
    <row r="14" spans="1:33" ht="24.75" thickBot="1" x14ac:dyDescent="0.25">
      <c r="A14" s="195" t="s">
        <v>31</v>
      </c>
      <c r="B14" s="196"/>
      <c r="C14" s="197">
        <v>634376</v>
      </c>
      <c r="D14" s="138"/>
      <c r="E14" s="199">
        <v>89139</v>
      </c>
      <c r="F14" s="200"/>
      <c r="G14" s="199">
        <v>184034</v>
      </c>
      <c r="H14" s="200"/>
      <c r="I14" s="201">
        <v>167428</v>
      </c>
      <c r="J14" s="198"/>
      <c r="K14" s="201">
        <v>233043</v>
      </c>
      <c r="L14" s="198"/>
      <c r="M14" s="199">
        <v>172172</v>
      </c>
      <c r="N14" s="355"/>
      <c r="O14" s="356">
        <v>196025</v>
      </c>
      <c r="P14" s="355"/>
      <c r="Q14" s="356">
        <v>102771</v>
      </c>
      <c r="R14" s="355"/>
      <c r="S14" s="356">
        <v>198338</v>
      </c>
      <c r="T14" s="355"/>
      <c r="U14" s="356">
        <v>173963</v>
      </c>
      <c r="V14" s="355"/>
      <c r="W14" s="356">
        <v>382409</v>
      </c>
      <c r="X14" s="355"/>
      <c r="Y14" s="356">
        <v>173478</v>
      </c>
      <c r="Z14" s="355"/>
      <c r="AA14" s="356">
        <v>173468</v>
      </c>
      <c r="AB14" s="355"/>
      <c r="AC14" s="357">
        <v>172882</v>
      </c>
      <c r="AD14" s="349"/>
      <c r="AE14" s="358"/>
      <c r="AF14" s="359">
        <f t="shared" ref="AF14:AF21" si="0">AVERAGE(W14,U14,Y14,AC14,AA14)</f>
        <v>215240</v>
      </c>
      <c r="AG14" s="237">
        <f t="shared" ref="AG14:AG21" si="1">+(AC14-U14)/U14</f>
        <v>-6.2139650385426787E-3</v>
      </c>
    </row>
    <row r="15" spans="1:33" ht="18.75" customHeight="1" thickBot="1" x14ac:dyDescent="0.25">
      <c r="A15" s="205" t="s">
        <v>11</v>
      </c>
      <c r="B15" s="206"/>
      <c r="C15" s="207">
        <f>SUM(C12:C14)</f>
        <v>1248261</v>
      </c>
      <c r="D15" s="274"/>
      <c r="E15" s="207">
        <f>SUM(E12:E14)</f>
        <v>767128</v>
      </c>
      <c r="F15" s="211"/>
      <c r="G15" s="210">
        <f>SUM(G12:G14)</f>
        <v>848845</v>
      </c>
      <c r="H15" s="211"/>
      <c r="I15" s="212">
        <f>SUM(I12:I14)</f>
        <v>858109</v>
      </c>
      <c r="J15" s="209"/>
      <c r="K15" s="212">
        <f>SUM(K12:K14)</f>
        <v>922768</v>
      </c>
      <c r="L15" s="209"/>
      <c r="M15" s="210">
        <f>SUM(M12:M14)</f>
        <v>939337</v>
      </c>
      <c r="N15" s="360"/>
      <c r="O15" s="361">
        <f>SUM(O12:O14)</f>
        <v>925804</v>
      </c>
      <c r="P15" s="360"/>
      <c r="Q15" s="361">
        <f>SUM(Q12:Q14)</f>
        <v>810733</v>
      </c>
      <c r="R15" s="360"/>
      <c r="S15" s="361">
        <f>SUM(S12:S14)</f>
        <v>923414</v>
      </c>
      <c r="T15" s="360"/>
      <c r="U15" s="361">
        <f>SUM(U12:U14)</f>
        <v>1034197</v>
      </c>
      <c r="V15" s="360"/>
      <c r="W15" s="361">
        <f>SUM(W12:W14)</f>
        <v>1229922</v>
      </c>
      <c r="X15" s="360"/>
      <c r="Y15" s="361">
        <f>SUM(Y12:Y14)</f>
        <v>1278433</v>
      </c>
      <c r="Z15" s="360"/>
      <c r="AA15" s="361">
        <f>SUM(AA12:AA14)</f>
        <v>1145407</v>
      </c>
      <c r="AB15" s="360"/>
      <c r="AC15" s="362">
        <f>SUM(AC12:AC14)</f>
        <v>1176644</v>
      </c>
      <c r="AD15" s="349"/>
      <c r="AE15" s="363"/>
      <c r="AF15" s="364">
        <f t="shared" si="0"/>
        <v>1172920.6000000001</v>
      </c>
      <c r="AG15" s="238">
        <f t="shared" si="1"/>
        <v>0.13773681416596645</v>
      </c>
    </row>
    <row r="16" spans="1:33" ht="15" customHeight="1" x14ac:dyDescent="0.2">
      <c r="A16" s="203" t="s">
        <v>12</v>
      </c>
      <c r="B16" s="19"/>
      <c r="C16" s="22"/>
      <c r="D16" s="4"/>
      <c r="E16" s="22"/>
      <c r="F16" s="39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>
        <v>1368111</v>
      </c>
      <c r="D17" s="5"/>
      <c r="E17" s="23">
        <v>1523488</v>
      </c>
      <c r="F17" s="40"/>
      <c r="G17" s="74">
        <v>1548901</v>
      </c>
      <c r="H17" s="40"/>
      <c r="I17" s="77">
        <v>1614728</v>
      </c>
      <c r="J17" s="49"/>
      <c r="K17" s="77">
        <v>1677605</v>
      </c>
      <c r="L17" s="49"/>
      <c r="M17" s="74">
        <v>1731484</v>
      </c>
      <c r="N17" s="367"/>
      <c r="O17" s="368">
        <v>1658731</v>
      </c>
      <c r="P17" s="367"/>
      <c r="Q17" s="368">
        <v>1657304</v>
      </c>
      <c r="R17" s="367"/>
      <c r="S17" s="368">
        <v>1662134</v>
      </c>
      <c r="T17" s="367"/>
      <c r="U17" s="368">
        <v>1724652</v>
      </c>
      <c r="V17" s="367"/>
      <c r="W17" s="368">
        <v>1581011</v>
      </c>
      <c r="X17" s="367"/>
      <c r="Y17" s="368">
        <v>1664082</v>
      </c>
      <c r="Z17" s="367"/>
      <c r="AA17" s="368">
        <v>1634846</v>
      </c>
      <c r="AB17" s="367"/>
      <c r="AC17" s="369">
        <v>1530610</v>
      </c>
      <c r="AD17" s="349"/>
      <c r="AE17" s="350"/>
      <c r="AF17" s="351">
        <f t="shared" si="0"/>
        <v>1627040.2</v>
      </c>
      <c r="AG17" s="237">
        <f t="shared" si="1"/>
        <v>-0.11251081377576462</v>
      </c>
    </row>
    <row r="18" spans="1:33" ht="15" customHeight="1" x14ac:dyDescent="0.2">
      <c r="A18" s="69" t="s">
        <v>30</v>
      </c>
      <c r="B18" s="20"/>
      <c r="C18" s="23"/>
      <c r="D18" s="5"/>
      <c r="E18" s="23"/>
      <c r="F18" s="40"/>
      <c r="G18" s="134"/>
      <c r="H18" s="40"/>
      <c r="I18" s="74">
        <v>217000</v>
      </c>
      <c r="J18" s="40"/>
      <c r="K18" s="74">
        <v>217000</v>
      </c>
      <c r="L18" s="40"/>
      <c r="M18" s="74">
        <v>217000</v>
      </c>
      <c r="N18" s="367"/>
      <c r="O18" s="368">
        <v>217000</v>
      </c>
      <c r="P18" s="367"/>
      <c r="Q18" s="368">
        <v>217000</v>
      </c>
      <c r="R18" s="367"/>
      <c r="S18" s="368">
        <v>217000</v>
      </c>
      <c r="T18" s="367"/>
      <c r="U18" s="368">
        <v>217000</v>
      </c>
      <c r="V18" s="367"/>
      <c r="W18" s="368">
        <v>217000</v>
      </c>
      <c r="X18" s="367"/>
      <c r="Y18" s="368">
        <v>217000</v>
      </c>
      <c r="Z18" s="367"/>
      <c r="AA18" s="368">
        <v>217000</v>
      </c>
      <c r="AB18" s="367"/>
      <c r="AC18" s="369">
        <v>217000</v>
      </c>
      <c r="AD18" s="349"/>
      <c r="AE18" s="354"/>
      <c r="AF18" s="351">
        <f t="shared" si="0"/>
        <v>217000</v>
      </c>
      <c r="AG18" s="237">
        <f t="shared" si="1"/>
        <v>0</v>
      </c>
    </row>
    <row r="19" spans="1:33" ht="24.75" thickBot="1" x14ac:dyDescent="0.25">
      <c r="A19" s="195" t="s">
        <v>31</v>
      </c>
      <c r="B19" s="196"/>
      <c r="C19" s="197">
        <v>752766</v>
      </c>
      <c r="D19" s="138"/>
      <c r="E19" s="197">
        <v>1031140</v>
      </c>
      <c r="F19" s="200"/>
      <c r="G19" s="199">
        <v>909985</v>
      </c>
      <c r="H19" s="200"/>
      <c r="I19" s="201">
        <v>584257</v>
      </c>
      <c r="J19" s="198"/>
      <c r="K19" s="201">
        <v>585110</v>
      </c>
      <c r="L19" s="198"/>
      <c r="M19" s="199">
        <v>559546</v>
      </c>
      <c r="N19" s="355" t="s">
        <v>2</v>
      </c>
      <c r="O19" s="356">
        <v>558249</v>
      </c>
      <c r="P19" s="355"/>
      <c r="Q19" s="356">
        <v>558470</v>
      </c>
      <c r="R19" s="355"/>
      <c r="S19" s="356">
        <v>558400</v>
      </c>
      <c r="T19" s="355"/>
      <c r="U19" s="356">
        <v>558339</v>
      </c>
      <c r="V19" s="355"/>
      <c r="W19" s="356">
        <v>688767</v>
      </c>
      <c r="X19" s="355"/>
      <c r="Y19" s="356">
        <v>595675</v>
      </c>
      <c r="Z19" s="355"/>
      <c r="AA19" s="356">
        <v>557797</v>
      </c>
      <c r="AB19" s="355"/>
      <c r="AC19" s="357">
        <v>629650</v>
      </c>
      <c r="AD19" s="349"/>
      <c r="AE19" s="358"/>
      <c r="AF19" s="351">
        <f t="shared" si="0"/>
        <v>606045.6</v>
      </c>
      <c r="AG19" s="237">
        <f t="shared" si="1"/>
        <v>0.12771989776820175</v>
      </c>
    </row>
    <row r="20" spans="1:33" ht="18.75" customHeight="1" thickBot="1" x14ac:dyDescent="0.25">
      <c r="A20" s="205" t="s">
        <v>13</v>
      </c>
      <c r="B20" s="206"/>
      <c r="C20" s="207">
        <f>SUM(C17:C19)</f>
        <v>2120877</v>
      </c>
      <c r="D20" s="274"/>
      <c r="E20" s="207">
        <f>SUM(E17:E19)</f>
        <v>2554628</v>
      </c>
      <c r="F20" s="211"/>
      <c r="G20" s="210">
        <f>SUM(G17:G19)</f>
        <v>2458886</v>
      </c>
      <c r="H20" s="211"/>
      <c r="I20" s="212">
        <f>SUM(I17:I19)</f>
        <v>2415985</v>
      </c>
      <c r="J20" s="209"/>
      <c r="K20" s="212">
        <f>SUM(K17:K19)</f>
        <v>2479715</v>
      </c>
      <c r="L20" s="209"/>
      <c r="M20" s="210">
        <f>SUM(M17:M19)</f>
        <v>2508030</v>
      </c>
      <c r="N20" s="360"/>
      <c r="O20" s="361">
        <f>SUM(O17:O19)</f>
        <v>2433980</v>
      </c>
      <c r="P20" s="360"/>
      <c r="Q20" s="361">
        <f>SUM(Q17:Q19)</f>
        <v>2432774</v>
      </c>
      <c r="R20" s="360"/>
      <c r="S20" s="361">
        <f>SUM(S17:S19)</f>
        <v>2437534</v>
      </c>
      <c r="T20" s="462"/>
      <c r="U20" s="361">
        <f>SUM(U17:U19)</f>
        <v>2499991</v>
      </c>
      <c r="V20" s="462"/>
      <c r="W20" s="361">
        <f>SUM(W17:W19)</f>
        <v>2486778</v>
      </c>
      <c r="X20" s="462"/>
      <c r="Y20" s="361">
        <f>SUM(Y17:Y19)</f>
        <v>2476757</v>
      </c>
      <c r="Z20" s="462"/>
      <c r="AA20" s="361">
        <f>SUM(AA17:AA19)</f>
        <v>2409643</v>
      </c>
      <c r="AB20" s="462"/>
      <c r="AC20" s="362">
        <f>SUM(AC17:AC19)</f>
        <v>2377260</v>
      </c>
      <c r="AD20" s="349"/>
      <c r="AE20" s="363"/>
      <c r="AF20" s="364">
        <f t="shared" si="0"/>
        <v>2450085.7999999998</v>
      </c>
      <c r="AG20" s="238">
        <f t="shared" si="1"/>
        <v>-4.9092576733276237E-2</v>
      </c>
    </row>
    <row r="21" spans="1:33" ht="18.75" customHeight="1" thickBot="1" x14ac:dyDescent="0.25">
      <c r="A21" s="266" t="s">
        <v>14</v>
      </c>
      <c r="B21" s="267"/>
      <c r="C21" s="268">
        <f>SUM(C15,C20)</f>
        <v>3369138</v>
      </c>
      <c r="D21" s="269"/>
      <c r="E21" s="268">
        <f>SUM(E15,E20)</f>
        <v>3321756</v>
      </c>
      <c r="F21" s="270"/>
      <c r="G21" s="271">
        <f>SUM(G15,G20)</f>
        <v>3307731</v>
      </c>
      <c r="H21" s="270"/>
      <c r="I21" s="272">
        <f>SUM(I15,I20)</f>
        <v>3274094</v>
      </c>
      <c r="J21" s="273"/>
      <c r="K21" s="272">
        <f>SUM(K15,K20)</f>
        <v>3402483</v>
      </c>
      <c r="L21" s="273"/>
      <c r="M21" s="271">
        <f>SUM(M15,M20)</f>
        <v>3447367</v>
      </c>
      <c r="N21" s="420"/>
      <c r="O21" s="421">
        <f>SUM(O15,O20)</f>
        <v>3359784</v>
      </c>
      <c r="P21" s="420"/>
      <c r="Q21" s="421">
        <f>SUM(Q15,Q20)</f>
        <v>3243507</v>
      </c>
      <c r="R21" s="420"/>
      <c r="S21" s="421">
        <f>SUM(S15,S20)</f>
        <v>3360948</v>
      </c>
      <c r="T21" s="420"/>
      <c r="U21" s="421">
        <f>SUM(U15,U20)</f>
        <v>3534188</v>
      </c>
      <c r="V21" s="420"/>
      <c r="W21" s="421">
        <f>SUM(W15,W20)</f>
        <v>3716700</v>
      </c>
      <c r="X21" s="420"/>
      <c r="Y21" s="421">
        <f>SUM(Y15,Y20)</f>
        <v>3755190</v>
      </c>
      <c r="Z21" s="420"/>
      <c r="AA21" s="421">
        <f>SUM(AA15,AA20)</f>
        <v>3555050</v>
      </c>
      <c r="AB21" s="420"/>
      <c r="AC21" s="422">
        <f>SUM(AC15,AC20)</f>
        <v>3553904</v>
      </c>
      <c r="AD21" s="349"/>
      <c r="AE21" s="373"/>
      <c r="AF21" s="374">
        <f t="shared" si="0"/>
        <v>3623006.4</v>
      </c>
      <c r="AG21" s="242">
        <f t="shared" si="1"/>
        <v>5.5786505981006108E-3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50"/>
      <c r="G22" s="551"/>
      <c r="H22" s="550"/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1"/>
      <c r="AC22" s="536"/>
      <c r="AD22" s="349"/>
      <c r="AE22" s="527"/>
      <c r="AF22" s="528"/>
      <c r="AG22" s="243"/>
    </row>
    <row r="23" spans="1:33" ht="15" customHeight="1" x14ac:dyDescent="0.2">
      <c r="A23" s="262" t="s">
        <v>41</v>
      </c>
      <c r="B23" s="24"/>
      <c r="C23" s="25">
        <f>437933+202809</f>
        <v>640742</v>
      </c>
      <c r="D23" s="6"/>
      <c r="E23" s="66">
        <v>676070</v>
      </c>
      <c r="F23" s="45"/>
      <c r="G23" s="100">
        <v>702819.98</v>
      </c>
      <c r="H23" s="98"/>
      <c r="I23" s="98">
        <v>696898.17</v>
      </c>
      <c r="J23" s="56"/>
      <c r="K23" s="98">
        <f>612948+99909</f>
        <v>712857</v>
      </c>
      <c r="L23" s="56"/>
      <c r="M23" s="224">
        <v>826741</v>
      </c>
      <c r="N23" s="345"/>
      <c r="O23" s="463">
        <v>762763</v>
      </c>
      <c r="P23" s="345"/>
      <c r="Q23" s="463">
        <v>738074</v>
      </c>
      <c r="R23" s="345"/>
      <c r="S23" s="463">
        <v>812325</v>
      </c>
      <c r="T23" s="345"/>
      <c r="U23" s="463">
        <v>811925</v>
      </c>
      <c r="V23" s="345"/>
      <c r="W23" s="463">
        <v>986335.61</v>
      </c>
      <c r="X23" s="404"/>
      <c r="Y23" s="464">
        <v>1097915</v>
      </c>
      <c r="Z23" s="345"/>
      <c r="AA23" s="463">
        <v>953832</v>
      </c>
      <c r="AB23" s="404"/>
      <c r="AC23" s="465"/>
      <c r="AD23" s="349"/>
      <c r="AE23" s="350"/>
      <c r="AF23" s="351">
        <f>AVERAGE(U23,AA23,S23,W23,Y23)</f>
        <v>932466.52199999988</v>
      </c>
      <c r="AG23" s="237">
        <f>+(AA23-S23)/S23</f>
        <v>0.17419998153448435</v>
      </c>
    </row>
    <row r="24" spans="1:33" ht="15" customHeight="1" x14ac:dyDescent="0.2">
      <c r="A24" s="262" t="s">
        <v>39</v>
      </c>
      <c r="B24" s="24"/>
      <c r="C24" s="25"/>
      <c r="D24" s="6"/>
      <c r="E24" s="66"/>
      <c r="F24" s="24"/>
      <c r="G24" s="99">
        <v>1675098.8400000005</v>
      </c>
      <c r="H24" s="24"/>
      <c r="I24" s="25">
        <v>1915405.9699999988</v>
      </c>
      <c r="J24" s="24"/>
      <c r="K24" s="25">
        <v>2231827.9300000011</v>
      </c>
      <c r="L24" s="24"/>
      <c r="M24" s="25">
        <v>2404872.9800000009</v>
      </c>
      <c r="N24" s="429"/>
      <c r="O24" s="430">
        <v>2695742.8799999962</v>
      </c>
      <c r="P24" s="429"/>
      <c r="Q24" s="430">
        <v>2221938.7800000021</v>
      </c>
      <c r="R24" s="429"/>
      <c r="S24" s="430">
        <v>2087797.439999999</v>
      </c>
      <c r="T24" s="429"/>
      <c r="U24" s="430">
        <v>2102359.330000001</v>
      </c>
      <c r="V24" s="429"/>
      <c r="W24" s="430">
        <v>2172047.1000000034</v>
      </c>
      <c r="X24" s="423"/>
      <c r="Y24" s="455">
        <v>2037190</v>
      </c>
      <c r="Z24" s="429"/>
      <c r="AA24" s="430">
        <v>2124941</v>
      </c>
      <c r="AB24" s="423"/>
      <c r="AC24" s="381"/>
      <c r="AD24" s="349"/>
      <c r="AE24" s="350"/>
      <c r="AF24" s="351">
        <f t="shared" ref="AF24:AF25" si="2">AVERAGE(U24,AA24,S24,W24,Y24)</f>
        <v>2104866.9740000004</v>
      </c>
      <c r="AG24" s="237">
        <f t="shared" ref="AG24:AG25" si="3">+(AA24-S24)/S24</f>
        <v>1.7790787213533995E-2</v>
      </c>
    </row>
    <row r="25" spans="1:33" ht="15" customHeight="1" thickBot="1" x14ac:dyDescent="0.25">
      <c r="A25" s="263" t="s">
        <v>40</v>
      </c>
      <c r="B25" s="172"/>
      <c r="C25" s="173"/>
      <c r="D25" s="174"/>
      <c r="E25" s="175"/>
      <c r="F25" s="172"/>
      <c r="G25" s="173">
        <v>1271586.49</v>
      </c>
      <c r="H25" s="172"/>
      <c r="I25" s="173">
        <v>1399222.31</v>
      </c>
      <c r="J25" s="172"/>
      <c r="K25" s="173">
        <v>1304515.0900000001</v>
      </c>
      <c r="L25" s="172"/>
      <c r="M25" s="173">
        <v>1280910.28</v>
      </c>
      <c r="N25" s="466"/>
      <c r="O25" s="467">
        <v>102765.87</v>
      </c>
      <c r="P25" s="466"/>
      <c r="Q25" s="467">
        <v>1014348.33</v>
      </c>
      <c r="R25" s="466"/>
      <c r="S25" s="467">
        <v>899207.55</v>
      </c>
      <c r="T25" s="466"/>
      <c r="U25" s="467">
        <v>931819.53</v>
      </c>
      <c r="V25" s="466"/>
      <c r="W25" s="467">
        <v>923719.35</v>
      </c>
      <c r="X25" s="409"/>
      <c r="Y25" s="468">
        <v>1071217</v>
      </c>
      <c r="Z25" s="466"/>
      <c r="AA25" s="467">
        <v>969147</v>
      </c>
      <c r="AB25" s="409"/>
      <c r="AC25" s="469"/>
      <c r="AD25" s="349"/>
      <c r="AE25" s="386"/>
      <c r="AF25" s="351">
        <f t="shared" si="2"/>
        <v>959022.08599999989</v>
      </c>
      <c r="AG25" s="237">
        <f t="shared" si="3"/>
        <v>7.7778984395760406E-2</v>
      </c>
    </row>
    <row r="26" spans="1:33" ht="18" customHeight="1" thickTop="1" x14ac:dyDescent="0.2">
      <c r="A26" s="119" t="s">
        <v>43</v>
      </c>
      <c r="B26" s="142" t="s">
        <v>18</v>
      </c>
      <c r="C26" s="143" t="s">
        <v>19</v>
      </c>
      <c r="D26" s="144" t="s">
        <v>18</v>
      </c>
      <c r="E26" s="143" t="s">
        <v>19</v>
      </c>
      <c r="F26" s="275" t="s">
        <v>18</v>
      </c>
      <c r="G26" s="276" t="s">
        <v>19</v>
      </c>
      <c r="H26" s="275" t="s">
        <v>18</v>
      </c>
      <c r="I26" s="277" t="s">
        <v>19</v>
      </c>
      <c r="J26" s="278" t="s">
        <v>18</v>
      </c>
      <c r="K26" s="277" t="s">
        <v>19</v>
      </c>
      <c r="L26" s="278" t="s">
        <v>18</v>
      </c>
      <c r="M26" s="276" t="s">
        <v>19</v>
      </c>
      <c r="N26" s="470" t="s">
        <v>18</v>
      </c>
      <c r="O26" s="471" t="s">
        <v>19</v>
      </c>
      <c r="P26" s="470" t="s">
        <v>18</v>
      </c>
      <c r="Q26" s="471" t="s">
        <v>19</v>
      </c>
      <c r="R26" s="470" t="s">
        <v>18</v>
      </c>
      <c r="S26" s="471" t="s">
        <v>19</v>
      </c>
      <c r="T26" s="470" t="s">
        <v>18</v>
      </c>
      <c r="U26" s="471" t="s">
        <v>19</v>
      </c>
      <c r="V26" s="470" t="s">
        <v>18</v>
      </c>
      <c r="W26" s="471" t="s">
        <v>19</v>
      </c>
      <c r="X26" s="472" t="s">
        <v>18</v>
      </c>
      <c r="Y26" s="473" t="s">
        <v>19</v>
      </c>
      <c r="Z26" s="470" t="s">
        <v>18</v>
      </c>
      <c r="AA26" s="471" t="s">
        <v>19</v>
      </c>
      <c r="AB26" s="472" t="s">
        <v>18</v>
      </c>
      <c r="AC26" s="474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44</v>
      </c>
      <c r="B27" s="63">
        <v>27</v>
      </c>
      <c r="C27" s="82">
        <v>1541851</v>
      </c>
      <c r="D27" s="113">
        <v>23</v>
      </c>
      <c r="E27" s="95">
        <v>1392937</v>
      </c>
      <c r="F27" s="258">
        <v>25</v>
      </c>
      <c r="G27" s="259">
        <v>2050816</v>
      </c>
      <c r="H27" s="186">
        <v>41</v>
      </c>
      <c r="I27" s="256">
        <v>1985652</v>
      </c>
      <c r="J27" s="186">
        <v>56</v>
      </c>
      <c r="K27" s="256">
        <v>2718665</v>
      </c>
      <c r="L27" s="186">
        <v>47</v>
      </c>
      <c r="M27" s="255">
        <v>3749185</v>
      </c>
      <c r="N27" s="394">
        <v>49</v>
      </c>
      <c r="O27" s="441">
        <v>2990023</v>
      </c>
      <c r="P27" s="394">
        <f>43+1</f>
        <v>44</v>
      </c>
      <c r="Q27" s="441">
        <f>8580928+25000</f>
        <v>8605928</v>
      </c>
      <c r="R27" s="394">
        <v>33</v>
      </c>
      <c r="S27" s="441">
        <v>3372145</v>
      </c>
      <c r="T27" s="394">
        <v>23</v>
      </c>
      <c r="U27" s="441">
        <v>1012242</v>
      </c>
      <c r="V27" s="394">
        <v>38</v>
      </c>
      <c r="W27" s="441">
        <v>2320408</v>
      </c>
      <c r="X27" s="394">
        <v>54</v>
      </c>
      <c r="Y27" s="441">
        <v>2850918</v>
      </c>
      <c r="Z27" s="394">
        <v>48</v>
      </c>
      <c r="AA27" s="441">
        <v>2406313</v>
      </c>
      <c r="AB27" s="396"/>
      <c r="AC27" s="475"/>
      <c r="AD27" s="349"/>
      <c r="AE27" s="283">
        <f>AVERAGE(T27,R27,Z27,X27,V27)</f>
        <v>39.200000000000003</v>
      </c>
      <c r="AF27" s="398">
        <f t="shared" ref="AF27:AF28" si="4">AVERAGE(U27,AA27,S27,W27,Y27)</f>
        <v>2392405.2000000002</v>
      </c>
      <c r="AG27" s="237">
        <f t="shared" ref="AG27:AG28" si="5">+(AA27-S27)/S27</f>
        <v>-0.2864147300901948</v>
      </c>
    </row>
    <row r="28" spans="1:33" ht="15" customHeight="1" thickBot="1" x14ac:dyDescent="0.25">
      <c r="A28" s="71" t="s">
        <v>45</v>
      </c>
      <c r="B28" s="148">
        <v>23</v>
      </c>
      <c r="C28" s="34">
        <v>1603228</v>
      </c>
      <c r="D28" s="149">
        <v>19</v>
      </c>
      <c r="E28" s="150">
        <v>2315862</v>
      </c>
      <c r="F28" s="260">
        <v>20</v>
      </c>
      <c r="G28" s="261">
        <v>1317913</v>
      </c>
      <c r="H28" s="188">
        <v>39</v>
      </c>
      <c r="I28" s="257">
        <v>3395681</v>
      </c>
      <c r="J28" s="188">
        <v>36</v>
      </c>
      <c r="K28" s="257">
        <v>2186599</v>
      </c>
      <c r="L28" s="188">
        <v>36</v>
      </c>
      <c r="M28" s="189">
        <v>2846196</v>
      </c>
      <c r="N28" s="311">
        <v>33</v>
      </c>
      <c r="O28" s="399">
        <v>2923787</v>
      </c>
      <c r="P28" s="311">
        <f>28+1</f>
        <v>29</v>
      </c>
      <c r="Q28" s="399">
        <f>1422306+25000</f>
        <v>1447306</v>
      </c>
      <c r="R28" s="311">
        <v>26</v>
      </c>
      <c r="S28" s="399">
        <v>1746929</v>
      </c>
      <c r="T28" s="311">
        <v>18</v>
      </c>
      <c r="U28" s="399">
        <v>1526681</v>
      </c>
      <c r="V28" s="311">
        <v>12</v>
      </c>
      <c r="W28" s="399">
        <v>794204</v>
      </c>
      <c r="X28" s="311">
        <v>17</v>
      </c>
      <c r="Y28" s="399">
        <v>595754</v>
      </c>
      <c r="Z28" s="311">
        <v>30</v>
      </c>
      <c r="AA28" s="399">
        <v>1741129</v>
      </c>
      <c r="AB28" s="400"/>
      <c r="AC28" s="401"/>
      <c r="AD28" s="349"/>
      <c r="AE28" s="283">
        <f>AVERAGE(T28,R28,Z28,X28,V28)</f>
        <v>20.6</v>
      </c>
      <c r="AF28" s="402">
        <f t="shared" si="4"/>
        <v>1280939.3999999999</v>
      </c>
      <c r="AG28" s="237">
        <f t="shared" si="5"/>
        <v>-3.3201120366082421E-3</v>
      </c>
    </row>
    <row r="29" spans="1:33" ht="18" customHeight="1" thickTop="1" thickBot="1" x14ac:dyDescent="0.25">
      <c r="A29" s="119" t="s">
        <v>15</v>
      </c>
      <c r="B29" s="545" t="s">
        <v>6</v>
      </c>
      <c r="C29" s="546"/>
      <c r="D29" s="558" t="s">
        <v>7</v>
      </c>
      <c r="E29" s="546"/>
      <c r="F29" s="553"/>
      <c r="G29" s="554"/>
      <c r="H29" s="553"/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>
        <v>142914.57</v>
      </c>
      <c r="D30" s="7"/>
      <c r="E30" s="33">
        <v>67200</v>
      </c>
      <c r="F30" s="45"/>
      <c r="G30" s="103">
        <v>581111.66</v>
      </c>
      <c r="H30" s="110"/>
      <c r="I30" s="105">
        <v>105459.53</v>
      </c>
      <c r="J30" s="118"/>
      <c r="K30" s="105">
        <v>67735.78</v>
      </c>
      <c r="L30" s="118"/>
      <c r="M30" s="131">
        <v>82198</v>
      </c>
      <c r="N30" s="345"/>
      <c r="O30" s="445">
        <v>55708</v>
      </c>
      <c r="P30" s="345"/>
      <c r="Q30" s="445">
        <v>100986.98</v>
      </c>
      <c r="R30" s="345"/>
      <c r="S30" s="445">
        <v>918259.72</v>
      </c>
      <c r="T30" s="345"/>
      <c r="U30" s="445">
        <v>208675.77</v>
      </c>
      <c r="V30" s="345"/>
      <c r="W30" s="445">
        <v>801457.28</v>
      </c>
      <c r="X30" s="404"/>
      <c r="Y30" s="447">
        <v>423886.92</v>
      </c>
      <c r="Z30" s="345"/>
      <c r="AA30" s="445">
        <v>128801</v>
      </c>
      <c r="AB30" s="404"/>
      <c r="AC30" s="448"/>
      <c r="AD30" s="349"/>
      <c r="AE30" s="350"/>
      <c r="AF30" s="406">
        <f t="shared" ref="AF30:AF31" si="6">AVERAGE(U30,AA30,S30,W30,Y30)</f>
        <v>496216.13799999998</v>
      </c>
      <c r="AG30" s="245">
        <f t="shared" ref="AG30" si="7">+(AA30-S30)/S30</f>
        <v>-0.85973358387102072</v>
      </c>
    </row>
    <row r="31" spans="1:33" ht="15" customHeight="1" thickBot="1" x14ac:dyDescent="0.25">
      <c r="A31" s="71" t="s">
        <v>17</v>
      </c>
      <c r="B31" s="30"/>
      <c r="C31" s="34">
        <v>0</v>
      </c>
      <c r="D31" s="8"/>
      <c r="E31" s="62">
        <v>0</v>
      </c>
      <c r="F31" s="46"/>
      <c r="G31" s="75">
        <v>0</v>
      </c>
      <c r="H31" s="46"/>
      <c r="I31" s="78">
        <v>0</v>
      </c>
      <c r="J31" s="57"/>
      <c r="K31" s="78">
        <v>0</v>
      </c>
      <c r="L31" s="57"/>
      <c r="M31" s="75">
        <v>0</v>
      </c>
      <c r="N31" s="449"/>
      <c r="O31" s="476">
        <v>0</v>
      </c>
      <c r="P31" s="449"/>
      <c r="Q31" s="476">
        <v>0</v>
      </c>
      <c r="R31" s="449"/>
      <c r="S31" s="476">
        <v>0</v>
      </c>
      <c r="T31" s="449"/>
      <c r="U31" s="476">
        <v>0</v>
      </c>
      <c r="V31" s="449"/>
      <c r="W31" s="476">
        <v>0</v>
      </c>
      <c r="X31" s="433"/>
      <c r="Y31" s="477">
        <v>0</v>
      </c>
      <c r="Z31" s="449"/>
      <c r="AA31" s="476">
        <v>0</v>
      </c>
      <c r="AB31" s="433"/>
      <c r="AC31" s="478"/>
      <c r="AD31" s="349"/>
      <c r="AE31" s="386"/>
      <c r="AF31" s="411">
        <f t="shared" si="6"/>
        <v>0</v>
      </c>
      <c r="AG31" s="247"/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X9:Y9"/>
    <mergeCell ref="AE9:AF9"/>
    <mergeCell ref="Z9:AA9"/>
    <mergeCell ref="B9:C9"/>
    <mergeCell ref="D9:E9"/>
    <mergeCell ref="H9:I9"/>
    <mergeCell ref="F9:G9"/>
    <mergeCell ref="P9:Q9"/>
    <mergeCell ref="J9:K9"/>
    <mergeCell ref="L9:M9"/>
    <mergeCell ref="N9:O9"/>
    <mergeCell ref="V9:W9"/>
    <mergeCell ref="R9:S9"/>
    <mergeCell ref="T9:U9"/>
    <mergeCell ref="AB9:AC9"/>
  </mergeCells>
  <phoneticPr fontId="0" type="noConversion"/>
  <printOptions horizontalCentered="1" verticalCentered="1"/>
  <pageMargins left="0.5" right="0.5" top="0.5" bottom="0.92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3"/>
  <sheetViews>
    <sheetView zoomScaleNormal="100" zoomScaleSheetLayoutView="100" workbookViewId="0">
      <pane xSplit="1" ySplit="1" topLeftCell="J18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3.855468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710937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251" t="s">
        <v>48</v>
      </c>
      <c r="B1" s="125"/>
      <c r="C1" s="125"/>
      <c r="D1" s="125"/>
      <c r="E1" s="125"/>
      <c r="F1" s="126"/>
      <c r="G1" s="126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5.75" x14ac:dyDescent="0.25">
      <c r="A2" s="251" t="s">
        <v>49</v>
      </c>
      <c r="B2" s="1"/>
      <c r="C2" s="1"/>
      <c r="D2" s="1"/>
      <c r="E2" s="1"/>
      <c r="F2" s="37"/>
      <c r="G2" s="37"/>
      <c r="H2" s="37"/>
      <c r="I2" s="37"/>
    </row>
    <row r="3" spans="1:33" x14ac:dyDescent="0.2">
      <c r="A3" s="16"/>
      <c r="B3" s="1"/>
      <c r="C3" s="1"/>
      <c r="D3" s="1"/>
      <c r="E3" s="1"/>
      <c r="F3" s="37"/>
      <c r="G3" s="37"/>
      <c r="H3" s="37"/>
      <c r="I3" s="37"/>
    </row>
    <row r="4" spans="1:33" ht="15.75" x14ac:dyDescent="0.25">
      <c r="A4" s="252" t="s">
        <v>50</v>
      </c>
      <c r="B4" s="1"/>
      <c r="C4" s="1"/>
      <c r="D4" s="1"/>
      <c r="E4" s="1"/>
      <c r="F4" s="37"/>
      <c r="G4" s="37"/>
      <c r="H4" s="37"/>
      <c r="I4" s="37"/>
    </row>
    <row r="5" spans="1:33" x14ac:dyDescent="0.2">
      <c r="A5" s="16"/>
      <c r="B5" s="3"/>
      <c r="C5" s="3"/>
      <c r="D5" s="3"/>
      <c r="E5" s="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3" x14ac:dyDescent="0.2">
      <c r="A6" s="2" t="s">
        <v>0</v>
      </c>
      <c r="B6" s="3"/>
      <c r="C6" s="3"/>
      <c r="D6" s="3"/>
      <c r="E6" s="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3" x14ac:dyDescent="0.2">
      <c r="A7" s="333">
        <v>3670045060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58"/>
      <c r="F9" s="543" t="s">
        <v>20</v>
      </c>
      <c r="G9" s="540"/>
      <c r="H9" s="543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43" t="s">
        <v>56</v>
      </c>
      <c r="AC9" s="544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122"/>
      <c r="F10" s="230"/>
      <c r="G10" s="231"/>
      <c r="H10" s="232"/>
      <c r="I10" s="232"/>
      <c r="J10" s="230"/>
      <c r="K10" s="232"/>
      <c r="L10" s="230"/>
      <c r="M10" s="231"/>
      <c r="N10" s="232"/>
      <c r="O10" s="231"/>
      <c r="P10" s="232"/>
      <c r="Q10" s="231"/>
      <c r="R10" s="232"/>
      <c r="S10" s="231"/>
      <c r="T10" s="232"/>
      <c r="U10" s="231"/>
      <c r="V10" s="232"/>
      <c r="W10" s="231"/>
      <c r="X10" s="232"/>
      <c r="Y10" s="231"/>
      <c r="Z10" s="232"/>
      <c r="AA10" s="231"/>
      <c r="AB10" s="232"/>
      <c r="AC10" s="233"/>
      <c r="AE10" s="248"/>
      <c r="AF10" s="249"/>
      <c r="AG10" s="235"/>
    </row>
    <row r="11" spans="1:33" ht="15" customHeight="1" x14ac:dyDescent="0.2">
      <c r="A11" s="68" t="s">
        <v>9</v>
      </c>
      <c r="B11" s="20"/>
      <c r="C11" s="21"/>
      <c r="D11" s="5"/>
      <c r="E11" s="5"/>
      <c r="F11" s="49"/>
      <c r="G11" s="47"/>
      <c r="H11" s="39"/>
      <c r="I11" s="39"/>
      <c r="J11" s="48"/>
      <c r="K11" s="39"/>
      <c r="L11" s="48"/>
      <c r="M11" s="72"/>
      <c r="N11" s="345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v>1190862</v>
      </c>
      <c r="D12" s="4"/>
      <c r="E12" s="31">
        <v>1278054</v>
      </c>
      <c r="F12" s="48"/>
      <c r="G12" s="73">
        <v>1336117</v>
      </c>
      <c r="H12" s="39"/>
      <c r="I12" s="76">
        <v>1434026</v>
      </c>
      <c r="J12" s="48"/>
      <c r="K12" s="76">
        <v>1517685</v>
      </c>
      <c r="L12" s="48"/>
      <c r="M12" s="73">
        <v>1605235</v>
      </c>
      <c r="N12" s="345"/>
      <c r="O12" s="352">
        <v>1578064</v>
      </c>
      <c r="P12" s="345"/>
      <c r="Q12" s="352">
        <v>1524355</v>
      </c>
      <c r="R12" s="345"/>
      <c r="S12" s="352">
        <v>1544398</v>
      </c>
      <c r="T12" s="345"/>
      <c r="U12" s="352">
        <v>1610832</v>
      </c>
      <c r="V12" s="345"/>
      <c r="W12" s="352">
        <v>1939763</v>
      </c>
      <c r="X12" s="345"/>
      <c r="Y12" s="352">
        <v>1825912</v>
      </c>
      <c r="Z12" s="345"/>
      <c r="AA12" s="352">
        <v>1927166</v>
      </c>
      <c r="AB12" s="345"/>
      <c r="AC12" s="353">
        <v>1897312</v>
      </c>
      <c r="AD12" s="349"/>
      <c r="AE12" s="350"/>
      <c r="AF12" s="351">
        <f>AVERAGE(W12,U12,Y12,AC12,AA12)</f>
        <v>1840197</v>
      </c>
      <c r="AG12" s="237">
        <f>+(AC12-U12)/U12</f>
        <v>0.17784598269714036</v>
      </c>
    </row>
    <row r="13" spans="1:33" ht="15" customHeight="1" x14ac:dyDescent="0.2">
      <c r="A13" s="18" t="s">
        <v>30</v>
      </c>
      <c r="B13" s="19"/>
      <c r="C13" s="22"/>
      <c r="D13" s="4"/>
      <c r="E13" s="31"/>
      <c r="F13" s="48"/>
      <c r="G13" s="133"/>
      <c r="H13" s="39"/>
      <c r="I13" s="73">
        <v>55000</v>
      </c>
      <c r="J13" s="39"/>
      <c r="K13" s="73">
        <v>55000</v>
      </c>
      <c r="L13" s="39"/>
      <c r="M13" s="73">
        <v>55000</v>
      </c>
      <c r="N13" s="345"/>
      <c r="O13" s="352">
        <v>55000</v>
      </c>
      <c r="P13" s="345"/>
      <c r="Q13" s="352">
        <v>55000</v>
      </c>
      <c r="R13" s="345"/>
      <c r="S13" s="352">
        <v>55000</v>
      </c>
      <c r="T13" s="345"/>
      <c r="U13" s="352">
        <v>73190</v>
      </c>
      <c r="V13" s="345"/>
      <c r="W13" s="352">
        <v>55000</v>
      </c>
      <c r="X13" s="345"/>
      <c r="Y13" s="352">
        <v>83367</v>
      </c>
      <c r="Z13" s="345"/>
      <c r="AA13" s="352">
        <v>83170</v>
      </c>
      <c r="AB13" s="345"/>
      <c r="AC13" s="353">
        <v>55000</v>
      </c>
      <c r="AD13" s="349"/>
      <c r="AE13" s="354"/>
      <c r="AF13" s="351">
        <f t="shared" ref="AF13:AF21" si="0">AVERAGE(W13,U13,Y13,AC13,AA13)</f>
        <v>69945.399999999994</v>
      </c>
      <c r="AG13" s="236">
        <f t="shared" ref="AG13:AG21" si="1">+(AC13-U13)/U13</f>
        <v>-0.24853122011203715</v>
      </c>
    </row>
    <row r="14" spans="1:33" ht="24.75" thickBot="1" x14ac:dyDescent="0.25">
      <c r="A14" s="195" t="s">
        <v>31</v>
      </c>
      <c r="B14" s="196"/>
      <c r="C14" s="197">
        <v>446754</v>
      </c>
      <c r="D14" s="138"/>
      <c r="E14" s="288">
        <v>824807</v>
      </c>
      <c r="F14" s="198"/>
      <c r="G14" s="199">
        <v>826551</v>
      </c>
      <c r="H14" s="200"/>
      <c r="I14" s="201">
        <v>880575</v>
      </c>
      <c r="J14" s="198"/>
      <c r="K14" s="201">
        <v>871331</v>
      </c>
      <c r="L14" s="198"/>
      <c r="M14" s="199">
        <v>815511</v>
      </c>
      <c r="N14" s="355"/>
      <c r="O14" s="356">
        <v>700379</v>
      </c>
      <c r="P14" s="355"/>
      <c r="Q14" s="356">
        <v>653634</v>
      </c>
      <c r="R14" s="355"/>
      <c r="S14" s="356">
        <v>823507</v>
      </c>
      <c r="T14" s="355"/>
      <c r="U14" s="356">
        <v>935051</v>
      </c>
      <c r="V14" s="355"/>
      <c r="W14" s="356">
        <v>660458</v>
      </c>
      <c r="X14" s="355"/>
      <c r="Y14" s="356">
        <v>816888</v>
      </c>
      <c r="Z14" s="355"/>
      <c r="AA14" s="356">
        <v>689062</v>
      </c>
      <c r="AB14" s="355"/>
      <c r="AC14" s="357">
        <v>762004</v>
      </c>
      <c r="AD14" s="349"/>
      <c r="AE14" s="358"/>
      <c r="AF14" s="359">
        <f t="shared" si="0"/>
        <v>772692.6</v>
      </c>
      <c r="AG14" s="237">
        <f t="shared" si="1"/>
        <v>-0.18506691078882329</v>
      </c>
    </row>
    <row r="15" spans="1:33" ht="18.75" customHeight="1" thickBot="1" x14ac:dyDescent="0.25">
      <c r="A15" s="205" t="s">
        <v>11</v>
      </c>
      <c r="B15" s="206"/>
      <c r="C15" s="207">
        <f>SUM(C12:C14)</f>
        <v>1637616</v>
      </c>
      <c r="D15" s="274"/>
      <c r="E15" s="291">
        <f>SUM(E12:E14)</f>
        <v>2102861</v>
      </c>
      <c r="F15" s="209"/>
      <c r="G15" s="210">
        <f>SUM(G12:G14)</f>
        <v>2162668</v>
      </c>
      <c r="H15" s="211"/>
      <c r="I15" s="212">
        <f>SUM(I12:I14)</f>
        <v>2369601</v>
      </c>
      <c r="J15" s="209"/>
      <c r="K15" s="212">
        <f>SUM(K12:K14)</f>
        <v>2444016</v>
      </c>
      <c r="L15" s="209"/>
      <c r="M15" s="210">
        <f>SUM(M12:M14)</f>
        <v>2475746</v>
      </c>
      <c r="N15" s="360"/>
      <c r="O15" s="361">
        <f>SUM(O12:O14)</f>
        <v>2333443</v>
      </c>
      <c r="P15" s="360"/>
      <c r="Q15" s="361">
        <f>SUM(Q12:Q14)</f>
        <v>2232989</v>
      </c>
      <c r="R15" s="360"/>
      <c r="S15" s="361">
        <f>SUM(S12:S14)</f>
        <v>2422905</v>
      </c>
      <c r="T15" s="360"/>
      <c r="U15" s="361">
        <f>SUM(U12:U14)</f>
        <v>2619073</v>
      </c>
      <c r="V15" s="360"/>
      <c r="W15" s="361">
        <f>SUM(W12:W14)</f>
        <v>2655221</v>
      </c>
      <c r="X15" s="360"/>
      <c r="Y15" s="361">
        <f>SUM(Y12:Y14)</f>
        <v>2726167</v>
      </c>
      <c r="Z15" s="360"/>
      <c r="AA15" s="361">
        <f>SUM(AA12:AA14)</f>
        <v>2699398</v>
      </c>
      <c r="AB15" s="360"/>
      <c r="AC15" s="362">
        <f>SUM(AC12:AC14)</f>
        <v>2714316</v>
      </c>
      <c r="AD15" s="349"/>
      <c r="AE15" s="363"/>
      <c r="AF15" s="364">
        <f t="shared" si="0"/>
        <v>2682835</v>
      </c>
      <c r="AG15" s="238">
        <f t="shared" si="1"/>
        <v>3.6365156679481633E-2</v>
      </c>
    </row>
    <row r="16" spans="1:33" ht="15" customHeight="1" x14ac:dyDescent="0.2">
      <c r="A16" s="203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>
        <v>91190</v>
      </c>
      <c r="D17" s="5"/>
      <c r="E17" s="32">
        <v>92654</v>
      </c>
      <c r="F17" s="49"/>
      <c r="G17" s="74">
        <v>92948</v>
      </c>
      <c r="H17" s="40"/>
      <c r="I17" s="77">
        <v>94324</v>
      </c>
      <c r="J17" s="49"/>
      <c r="K17" s="77">
        <v>97091</v>
      </c>
      <c r="L17" s="49"/>
      <c r="M17" s="74">
        <v>98223</v>
      </c>
      <c r="N17" s="367"/>
      <c r="O17" s="368">
        <v>60804</v>
      </c>
      <c r="P17" s="367"/>
      <c r="Q17" s="368">
        <v>37686</v>
      </c>
      <c r="R17" s="367"/>
      <c r="S17" s="368">
        <v>37814</v>
      </c>
      <c r="T17" s="367"/>
      <c r="U17" s="368">
        <v>38165</v>
      </c>
      <c r="V17" s="367"/>
      <c r="W17" s="368">
        <v>38172</v>
      </c>
      <c r="X17" s="367"/>
      <c r="Y17" s="368">
        <v>12894</v>
      </c>
      <c r="Z17" s="367"/>
      <c r="AA17" s="368"/>
      <c r="AB17" s="367"/>
      <c r="AC17" s="369"/>
      <c r="AD17" s="349"/>
      <c r="AE17" s="350"/>
      <c r="AF17" s="351">
        <f t="shared" si="0"/>
        <v>29743.666666666668</v>
      </c>
      <c r="AG17" s="237">
        <f t="shared" si="1"/>
        <v>-1</v>
      </c>
    </row>
    <row r="18" spans="1:33" ht="15" customHeight="1" x14ac:dyDescent="0.2">
      <c r="A18" s="18" t="s">
        <v>30</v>
      </c>
      <c r="B18" s="20"/>
      <c r="C18" s="23"/>
      <c r="D18" s="5"/>
      <c r="E18" s="32"/>
      <c r="F18" s="49"/>
      <c r="G18" s="74"/>
      <c r="H18" s="40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4.75" thickBot="1" x14ac:dyDescent="0.25">
      <c r="A19" s="195" t="s">
        <v>31</v>
      </c>
      <c r="B19" s="196"/>
      <c r="C19" s="197"/>
      <c r="D19" s="138"/>
      <c r="E19" s="288"/>
      <c r="F19" s="198"/>
      <c r="G19" s="199"/>
      <c r="H19" s="200"/>
      <c r="I19" s="201"/>
      <c r="J19" s="198"/>
      <c r="K19" s="201"/>
      <c r="L19" s="198"/>
      <c r="M19" s="199"/>
      <c r="N19" s="35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91190</v>
      </c>
      <c r="D20" s="274"/>
      <c r="E20" s="291">
        <f>SUM(E17:E19)</f>
        <v>92654</v>
      </c>
      <c r="F20" s="209"/>
      <c r="G20" s="210">
        <f>SUM(G17:G19)</f>
        <v>92948</v>
      </c>
      <c r="H20" s="211"/>
      <c r="I20" s="212">
        <f>SUM(I17:I19)</f>
        <v>94324</v>
      </c>
      <c r="J20" s="209"/>
      <c r="K20" s="212">
        <f>SUM(K17:K19)</f>
        <v>97091</v>
      </c>
      <c r="L20" s="209"/>
      <c r="M20" s="210">
        <f>SUM(M17:M19)</f>
        <v>98223</v>
      </c>
      <c r="N20" s="360"/>
      <c r="O20" s="361">
        <f>SUM(O17:O19)</f>
        <v>60804</v>
      </c>
      <c r="P20" s="360"/>
      <c r="Q20" s="361">
        <f>SUM(Q17:Q19)</f>
        <v>37686</v>
      </c>
      <c r="R20" s="360"/>
      <c r="S20" s="361">
        <f>SUM(S17:S19)</f>
        <v>37814</v>
      </c>
      <c r="T20" s="360"/>
      <c r="U20" s="361">
        <f>SUM(U17:U19)</f>
        <v>38165</v>
      </c>
      <c r="V20" s="360"/>
      <c r="W20" s="361">
        <f>SUM(W17:W19)</f>
        <v>38172</v>
      </c>
      <c r="X20" s="360"/>
      <c r="Y20" s="361">
        <f>SUM(Y17:Y19)</f>
        <v>12894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17846.2</v>
      </c>
      <c r="AG20" s="238">
        <f t="shared" si="1"/>
        <v>-1</v>
      </c>
    </row>
    <row r="21" spans="1:33" ht="18.75" customHeight="1" thickBot="1" x14ac:dyDescent="0.25">
      <c r="A21" s="289" t="s">
        <v>14</v>
      </c>
      <c r="B21" s="267"/>
      <c r="C21" s="268">
        <f>SUM(C15,C20)</f>
        <v>1728806</v>
      </c>
      <c r="D21" s="269"/>
      <c r="E21" s="290">
        <f>SUM(E15,E20)</f>
        <v>2195515</v>
      </c>
      <c r="F21" s="273"/>
      <c r="G21" s="271">
        <f>SUM(G15,G20)</f>
        <v>2255616</v>
      </c>
      <c r="H21" s="270"/>
      <c r="I21" s="272">
        <f>SUM(I15,I20)</f>
        <v>2463925</v>
      </c>
      <c r="J21" s="300"/>
      <c r="K21" s="137">
        <f>SUM(K15,K20)</f>
        <v>2541107</v>
      </c>
      <c r="L21" s="300"/>
      <c r="M21" s="301">
        <f>SUM(M15,M20)</f>
        <v>2573969</v>
      </c>
      <c r="N21" s="444"/>
      <c r="O21" s="479">
        <f>SUM(O15,O20)</f>
        <v>2394247</v>
      </c>
      <c r="P21" s="444"/>
      <c r="Q21" s="479">
        <f>SUM(Q15,Q20)</f>
        <v>2270675</v>
      </c>
      <c r="R21" s="444"/>
      <c r="S21" s="479">
        <f>SUM(S15,S20)</f>
        <v>2460719</v>
      </c>
      <c r="T21" s="444"/>
      <c r="U21" s="479">
        <f>SUM(U15,U20)</f>
        <v>2657238</v>
      </c>
      <c r="V21" s="444"/>
      <c r="W21" s="479">
        <f>SUM(W15,W20)</f>
        <v>2693393</v>
      </c>
      <c r="X21" s="444"/>
      <c r="Y21" s="479">
        <f>SUM(Y15,Y20)</f>
        <v>2739061</v>
      </c>
      <c r="Z21" s="444"/>
      <c r="AA21" s="479">
        <f>SUM(AA15,AA20)</f>
        <v>2699398</v>
      </c>
      <c r="AB21" s="444"/>
      <c r="AC21" s="480">
        <f>SUM(AC15,AC20)</f>
        <v>2714316</v>
      </c>
      <c r="AD21" s="349"/>
      <c r="AE21" s="373"/>
      <c r="AF21" s="374">
        <f t="shared" si="0"/>
        <v>2700681.2</v>
      </c>
      <c r="AG21" s="242">
        <f t="shared" si="1"/>
        <v>2.1480198612243238E-2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49" t="s">
        <v>20</v>
      </c>
      <c r="G22" s="548"/>
      <c r="H22" s="547" t="s">
        <v>22</v>
      </c>
      <c r="I22" s="549"/>
      <c r="J22" s="569"/>
      <c r="K22" s="570"/>
      <c r="L22" s="569"/>
      <c r="M22" s="571"/>
      <c r="N22" s="572"/>
      <c r="O22" s="573"/>
      <c r="P22" s="572"/>
      <c r="Q22" s="573"/>
      <c r="R22" s="572"/>
      <c r="S22" s="573"/>
      <c r="T22" s="572"/>
      <c r="U22" s="573"/>
      <c r="V22" s="572"/>
      <c r="W22" s="573"/>
      <c r="X22" s="572"/>
      <c r="Y22" s="573"/>
      <c r="Z22" s="572"/>
      <c r="AA22" s="573"/>
      <c r="AB22" s="572"/>
      <c r="AC22" s="574"/>
      <c r="AD22" s="349"/>
      <c r="AE22" s="527"/>
      <c r="AF22" s="528"/>
      <c r="AG22" s="243"/>
    </row>
    <row r="23" spans="1:33" ht="15" customHeight="1" x14ac:dyDescent="0.2">
      <c r="A23" s="262" t="s">
        <v>41</v>
      </c>
      <c r="B23" s="24"/>
      <c r="C23" s="25">
        <f>241242+734572</f>
        <v>975814</v>
      </c>
      <c r="D23" s="6"/>
      <c r="E23" s="107">
        <v>1088313</v>
      </c>
      <c r="F23" s="53"/>
      <c r="G23" s="99">
        <v>1208167.56</v>
      </c>
      <c r="H23" s="107"/>
      <c r="I23" s="107">
        <v>1396608.4</v>
      </c>
      <c r="J23" s="56"/>
      <c r="K23" s="302">
        <f>1441437+3564+23139</f>
        <v>1468140</v>
      </c>
      <c r="L23" s="56"/>
      <c r="M23" s="224">
        <v>1572395</v>
      </c>
      <c r="N23" s="345"/>
      <c r="O23" s="375">
        <v>1569950</v>
      </c>
      <c r="P23" s="345"/>
      <c r="Q23" s="375">
        <v>1487117</v>
      </c>
      <c r="R23" s="345"/>
      <c r="S23" s="375">
        <v>1558116</v>
      </c>
      <c r="T23" s="345"/>
      <c r="U23" s="375">
        <v>1290650</v>
      </c>
      <c r="V23" s="345"/>
      <c r="W23" s="375">
        <v>1553529.34</v>
      </c>
      <c r="X23" s="404"/>
      <c r="Y23" s="481">
        <v>1414548</v>
      </c>
      <c r="Z23" s="404"/>
      <c r="AA23" s="481">
        <v>1290700</v>
      </c>
      <c r="AB23" s="404"/>
      <c r="AC23" s="482"/>
      <c r="AD23" s="349"/>
      <c r="AE23" s="350"/>
      <c r="AF23" s="351">
        <f>AVERAGE(U23,AA23,S23,W23,Y23)</f>
        <v>1421508.6680000001</v>
      </c>
      <c r="AG23" s="237">
        <f>+(AA23-S23)/S23</f>
        <v>-0.17162778637790768</v>
      </c>
    </row>
    <row r="24" spans="1:33" ht="15" customHeight="1" x14ac:dyDescent="0.2">
      <c r="A24" s="262" t="s">
        <v>39</v>
      </c>
      <c r="B24" s="27"/>
      <c r="C24" s="35"/>
      <c r="D24" s="9"/>
      <c r="E24" s="109"/>
      <c r="F24" s="54"/>
      <c r="G24" s="108">
        <v>1082965</v>
      </c>
      <c r="H24" s="109"/>
      <c r="I24" s="109">
        <v>898492</v>
      </c>
      <c r="J24" s="54"/>
      <c r="K24" s="64">
        <v>976308</v>
      </c>
      <c r="L24" s="54"/>
      <c r="M24" s="66">
        <v>1258002</v>
      </c>
      <c r="N24" s="347"/>
      <c r="O24" s="378">
        <v>1978104</v>
      </c>
      <c r="P24" s="367"/>
      <c r="Q24" s="378">
        <v>2020311</v>
      </c>
      <c r="R24" s="367"/>
      <c r="S24" s="378">
        <v>2440938</v>
      </c>
      <c r="T24" s="367"/>
      <c r="U24" s="378">
        <v>2727407</v>
      </c>
      <c r="V24" s="367"/>
      <c r="W24" s="378">
        <v>2809197</v>
      </c>
      <c r="X24" s="423"/>
      <c r="Y24" s="424">
        <v>2458099</v>
      </c>
      <c r="Z24" s="423"/>
      <c r="AA24" s="424">
        <v>2050685</v>
      </c>
      <c r="AB24" s="423"/>
      <c r="AC24" s="377"/>
      <c r="AD24" s="349"/>
      <c r="AE24" s="350"/>
      <c r="AF24" s="351">
        <f t="shared" ref="AF24:AF25" si="2">AVERAGE(U24,AA24,S24,W24,Y24)</f>
        <v>2497265.2000000002</v>
      </c>
      <c r="AG24" s="237">
        <f t="shared" ref="AG24" si="3">+(AA24-S24)/S24</f>
        <v>-0.15987829268912196</v>
      </c>
    </row>
    <row r="25" spans="1:33" ht="15" customHeight="1" thickBot="1" x14ac:dyDescent="0.25">
      <c r="A25" s="263" t="s">
        <v>40</v>
      </c>
      <c r="B25" s="172"/>
      <c r="C25" s="173"/>
      <c r="D25" s="172"/>
      <c r="E25" s="173"/>
      <c r="F25" s="172"/>
      <c r="G25" s="173">
        <v>0</v>
      </c>
      <c r="H25" s="172"/>
      <c r="I25" s="173">
        <v>40105.03</v>
      </c>
      <c r="J25" s="172"/>
      <c r="K25" s="173">
        <v>19116.189999999999</v>
      </c>
      <c r="L25" s="172"/>
      <c r="M25" s="173">
        <v>0</v>
      </c>
      <c r="N25" s="466"/>
      <c r="O25" s="467">
        <v>0</v>
      </c>
      <c r="P25" s="466"/>
      <c r="Q25" s="467">
        <v>0</v>
      </c>
      <c r="R25" s="466"/>
      <c r="S25" s="467">
        <v>0</v>
      </c>
      <c r="T25" s="466"/>
      <c r="U25" s="467">
        <v>0</v>
      </c>
      <c r="V25" s="466"/>
      <c r="W25" s="467">
        <v>0</v>
      </c>
      <c r="X25" s="409"/>
      <c r="Y25" s="483">
        <v>0</v>
      </c>
      <c r="Z25" s="409"/>
      <c r="AA25" s="483">
        <v>26453</v>
      </c>
      <c r="AB25" s="484"/>
      <c r="AC25" s="385"/>
      <c r="AD25" s="349"/>
      <c r="AE25" s="386"/>
      <c r="AF25" s="351">
        <f t="shared" si="2"/>
        <v>5290.6</v>
      </c>
      <c r="AG25" s="237"/>
    </row>
    <row r="26" spans="1:33" ht="18" customHeight="1" thickTop="1" x14ac:dyDescent="0.2">
      <c r="A26" s="119" t="s">
        <v>52</v>
      </c>
      <c r="B26" s="142" t="s">
        <v>18</v>
      </c>
      <c r="C26" s="143" t="s">
        <v>19</v>
      </c>
      <c r="D26" s="144" t="s">
        <v>18</v>
      </c>
      <c r="E26" s="156" t="s">
        <v>19</v>
      </c>
      <c r="F26" s="147" t="s">
        <v>18</v>
      </c>
      <c r="G26" s="143" t="s">
        <v>19</v>
      </c>
      <c r="H26" s="93" t="s">
        <v>18</v>
      </c>
      <c r="I26" s="156" t="s">
        <v>19</v>
      </c>
      <c r="J26" s="184" t="s">
        <v>18</v>
      </c>
      <c r="K26" s="303" t="s">
        <v>19</v>
      </c>
      <c r="L26" s="184" t="s">
        <v>18</v>
      </c>
      <c r="M26" s="185" t="s">
        <v>19</v>
      </c>
      <c r="N26" s="485" t="s">
        <v>18</v>
      </c>
      <c r="O26" s="486" t="s">
        <v>19</v>
      </c>
      <c r="P26" s="485" t="s">
        <v>18</v>
      </c>
      <c r="Q26" s="486" t="s">
        <v>19</v>
      </c>
      <c r="R26" s="485" t="s">
        <v>18</v>
      </c>
      <c r="S26" s="486" t="s">
        <v>19</v>
      </c>
      <c r="T26" s="485" t="s">
        <v>18</v>
      </c>
      <c r="U26" s="486" t="s">
        <v>19</v>
      </c>
      <c r="V26" s="485" t="s">
        <v>18</v>
      </c>
      <c r="W26" s="486" t="s">
        <v>19</v>
      </c>
      <c r="X26" s="487" t="s">
        <v>18</v>
      </c>
      <c r="Y26" s="488" t="s">
        <v>19</v>
      </c>
      <c r="Z26" s="487" t="s">
        <v>18</v>
      </c>
      <c r="AA26" s="488" t="s">
        <v>19</v>
      </c>
      <c r="AB26" s="487" t="s">
        <v>18</v>
      </c>
      <c r="AC26" s="489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44</v>
      </c>
      <c r="B27" s="63">
        <v>24</v>
      </c>
      <c r="C27" s="26">
        <v>1764380</v>
      </c>
      <c r="D27" s="113">
        <v>23</v>
      </c>
      <c r="E27" s="84">
        <v>1589613</v>
      </c>
      <c r="F27" s="87">
        <v>26</v>
      </c>
      <c r="G27" s="91">
        <v>2455067</v>
      </c>
      <c r="H27" s="87">
        <v>34</v>
      </c>
      <c r="I27" s="91">
        <v>3403358</v>
      </c>
      <c r="J27" s="186">
        <v>34</v>
      </c>
      <c r="K27" s="255">
        <v>3260075</v>
      </c>
      <c r="L27" s="186">
        <v>44</v>
      </c>
      <c r="M27" s="255">
        <v>7443269</v>
      </c>
      <c r="N27" s="394">
        <v>32</v>
      </c>
      <c r="O27" s="441">
        <v>4558593</v>
      </c>
      <c r="P27" s="394">
        <v>24</v>
      </c>
      <c r="Q27" s="441">
        <v>3648425</v>
      </c>
      <c r="R27" s="394">
        <v>21</v>
      </c>
      <c r="S27" s="441">
        <v>7998607</v>
      </c>
      <c r="T27" s="394">
        <v>19</v>
      </c>
      <c r="U27" s="441">
        <v>4808192</v>
      </c>
      <c r="V27" s="394">
        <v>22</v>
      </c>
      <c r="W27" s="441">
        <v>3736631</v>
      </c>
      <c r="X27" s="394">
        <v>34</v>
      </c>
      <c r="Y27" s="441">
        <v>4697710</v>
      </c>
      <c r="Z27" s="394">
        <v>40</v>
      </c>
      <c r="AA27" s="441">
        <v>3551194</v>
      </c>
      <c r="AB27" s="396"/>
      <c r="AC27" s="490"/>
      <c r="AD27" s="349"/>
      <c r="AE27" s="283">
        <f>AVERAGE(T27,R27,Z27,X27,V27)</f>
        <v>27.2</v>
      </c>
      <c r="AF27" s="398">
        <f t="shared" ref="AF27:AF28" si="4">AVERAGE(U27,AA27,S27,W27,Y27)</f>
        <v>4958466.8</v>
      </c>
      <c r="AG27" s="237">
        <f t="shared" ref="AG27:AG28" si="5">+(AA27-S27)/S27</f>
        <v>-0.55602344258193959</v>
      </c>
    </row>
    <row r="28" spans="1:33" ht="15" customHeight="1" thickBot="1" x14ac:dyDescent="0.25">
      <c r="A28" s="71" t="s">
        <v>45</v>
      </c>
      <c r="B28" s="148">
        <v>9</v>
      </c>
      <c r="C28" s="34">
        <v>1021959</v>
      </c>
      <c r="D28" s="149">
        <v>15</v>
      </c>
      <c r="E28" s="51">
        <v>2106699</v>
      </c>
      <c r="F28" s="158">
        <v>6</v>
      </c>
      <c r="G28" s="152">
        <v>290588</v>
      </c>
      <c r="H28" s="153">
        <v>12</v>
      </c>
      <c r="I28" s="154">
        <v>1248991</v>
      </c>
      <c r="J28" s="188">
        <v>14</v>
      </c>
      <c r="K28" s="189">
        <v>1247069</v>
      </c>
      <c r="L28" s="188">
        <v>16</v>
      </c>
      <c r="M28" s="189">
        <v>2149271</v>
      </c>
      <c r="N28" s="311">
        <v>16</v>
      </c>
      <c r="O28" s="399">
        <v>2851943</v>
      </c>
      <c r="P28" s="311">
        <v>19</v>
      </c>
      <c r="Q28" s="399">
        <v>4715020</v>
      </c>
      <c r="R28" s="311">
        <v>13</v>
      </c>
      <c r="S28" s="399">
        <v>1767029</v>
      </c>
      <c r="T28" s="311">
        <v>7</v>
      </c>
      <c r="U28" s="399">
        <v>1120526</v>
      </c>
      <c r="V28" s="311">
        <v>11</v>
      </c>
      <c r="W28" s="399">
        <v>1475765</v>
      </c>
      <c r="X28" s="311">
        <v>8</v>
      </c>
      <c r="Y28" s="399">
        <v>1084436</v>
      </c>
      <c r="Z28" s="311">
        <v>6</v>
      </c>
      <c r="AA28" s="399">
        <v>1178431</v>
      </c>
      <c r="AB28" s="400"/>
      <c r="AC28" s="401"/>
      <c r="AD28" s="349"/>
      <c r="AE28" s="283">
        <f>AVERAGE(T28,R28,Z28,X28,V28)</f>
        <v>9</v>
      </c>
      <c r="AF28" s="402">
        <f t="shared" si="4"/>
        <v>1325237.3999999999</v>
      </c>
      <c r="AG28" s="237">
        <f t="shared" si="5"/>
        <v>-0.33310036224646</v>
      </c>
    </row>
    <row r="29" spans="1:33" ht="18" customHeight="1" thickTop="1" thickBot="1" x14ac:dyDescent="0.25">
      <c r="A29" s="119" t="s">
        <v>15</v>
      </c>
      <c r="B29" s="545" t="s">
        <v>6</v>
      </c>
      <c r="C29" s="546"/>
      <c r="D29" s="558" t="s">
        <v>7</v>
      </c>
      <c r="E29" s="546"/>
      <c r="F29" s="539" t="s">
        <v>20</v>
      </c>
      <c r="G29" s="540"/>
      <c r="H29" s="543" t="s">
        <v>22</v>
      </c>
      <c r="I29" s="539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>
        <v>132322.9</v>
      </c>
      <c r="D30" s="7"/>
      <c r="E30" s="50">
        <v>298771.38</v>
      </c>
      <c r="F30" s="56"/>
      <c r="G30" s="103">
        <v>240041.88</v>
      </c>
      <c r="H30" s="85"/>
      <c r="I30" s="106">
        <v>251402.42</v>
      </c>
      <c r="J30" s="56"/>
      <c r="K30" s="106">
        <v>324674.23</v>
      </c>
      <c r="L30" s="56"/>
      <c r="M30" s="96">
        <v>230454</v>
      </c>
      <c r="N30" s="345"/>
      <c r="O30" s="403">
        <v>293648</v>
      </c>
      <c r="P30" s="345"/>
      <c r="Q30" s="403">
        <v>278193.43</v>
      </c>
      <c r="R30" s="345"/>
      <c r="S30" s="403">
        <v>481836.15</v>
      </c>
      <c r="T30" s="345"/>
      <c r="U30" s="403">
        <v>418645.7</v>
      </c>
      <c r="V30" s="345"/>
      <c r="W30" s="403">
        <v>429099.33</v>
      </c>
      <c r="X30" s="404"/>
      <c r="Y30" s="491">
        <v>354355.82</v>
      </c>
      <c r="Z30" s="404"/>
      <c r="AA30" s="491">
        <v>604771</v>
      </c>
      <c r="AB30" s="404"/>
      <c r="AC30" s="405"/>
      <c r="AD30" s="349"/>
      <c r="AE30" s="350"/>
      <c r="AF30" s="406">
        <f t="shared" ref="AF30:AF31" si="6">AVERAGE(U30,AA30,S30,W30,Y30)</f>
        <v>457741.6</v>
      </c>
      <c r="AG30" s="245">
        <f t="shared" ref="AG30:AG31" si="7">+(AA30-S30)/S30</f>
        <v>0.25513828715425352</v>
      </c>
    </row>
    <row r="31" spans="1:33" ht="15" customHeight="1" thickBot="1" x14ac:dyDescent="0.25">
      <c r="A31" s="71" t="s">
        <v>17</v>
      </c>
      <c r="B31" s="30"/>
      <c r="C31" s="34">
        <v>297871.76</v>
      </c>
      <c r="D31" s="8"/>
      <c r="E31" s="58">
        <v>309750.76</v>
      </c>
      <c r="F31" s="57"/>
      <c r="G31" s="88">
        <v>337408.16</v>
      </c>
      <c r="H31" s="86"/>
      <c r="I31" s="104">
        <v>391873.45</v>
      </c>
      <c r="J31" s="57"/>
      <c r="K31" s="104">
        <v>384637.63</v>
      </c>
      <c r="L31" s="57"/>
      <c r="M31" s="88">
        <v>291474.46000000002</v>
      </c>
      <c r="N31" s="449"/>
      <c r="O31" s="450">
        <v>294033</v>
      </c>
      <c r="P31" s="449"/>
      <c r="Q31" s="450">
        <v>343388</v>
      </c>
      <c r="R31" s="449"/>
      <c r="S31" s="450">
        <v>314031.05</v>
      </c>
      <c r="T31" s="449"/>
      <c r="U31" s="450">
        <v>328499.23</v>
      </c>
      <c r="V31" s="449"/>
      <c r="W31" s="450">
        <v>372505.16</v>
      </c>
      <c r="X31" s="433"/>
      <c r="Y31" s="451">
        <v>464033.61</v>
      </c>
      <c r="Z31" s="433"/>
      <c r="AA31" s="451">
        <v>483758</v>
      </c>
      <c r="AB31" s="433"/>
      <c r="AC31" s="452"/>
      <c r="AD31" s="349"/>
      <c r="AE31" s="386"/>
      <c r="AF31" s="411">
        <f t="shared" si="6"/>
        <v>392565.41</v>
      </c>
      <c r="AG31" s="292">
        <f t="shared" si="7"/>
        <v>0.54047824251773835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N9:O9"/>
    <mergeCell ref="T9:U9"/>
    <mergeCell ref="R9:S9"/>
    <mergeCell ref="P9:Q9"/>
    <mergeCell ref="AE9:AF9"/>
    <mergeCell ref="V9:W9"/>
    <mergeCell ref="X9:Y9"/>
    <mergeCell ref="Z9:AA9"/>
    <mergeCell ref="AB9:AC9"/>
    <mergeCell ref="J9:K9"/>
    <mergeCell ref="L9:M9"/>
    <mergeCell ref="H9:I9"/>
    <mergeCell ref="F9:G9"/>
    <mergeCell ref="B9:C9"/>
    <mergeCell ref="D9:E9"/>
  </mergeCells>
  <phoneticPr fontId="0" type="noConversion"/>
  <printOptions horizontalCentered="1" verticalCentered="1"/>
  <pageMargins left="0.5" right="0.5" top="0.5" bottom="0.87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33"/>
  <sheetViews>
    <sheetView zoomScaleNormal="100" zoomScaleSheetLayoutView="100" workbookViewId="0">
      <pane xSplit="1" ySplit="1" topLeftCell="J17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4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85546875" style="1" hidden="1" customWidth="1"/>
    <col min="14" max="14" width="4.7109375" style="1" customWidth="1"/>
    <col min="15" max="15" width="10.85546875" style="1" customWidth="1"/>
    <col min="16" max="16" width="4.7109375" style="1" customWidth="1"/>
    <col min="17" max="17" width="10.85546875" style="1" customWidth="1"/>
    <col min="18" max="18" width="4.7109375" style="1" customWidth="1"/>
    <col min="19" max="19" width="10.85546875" style="1" customWidth="1"/>
    <col min="20" max="20" width="4.7109375" style="1" customWidth="1"/>
    <col min="21" max="21" width="10.85546875" style="1" customWidth="1"/>
    <col min="22" max="22" width="4.7109375" style="1" customWidth="1"/>
    <col min="23" max="23" width="10.85546875" style="1" customWidth="1"/>
    <col min="24" max="24" width="4.7109375" style="1" customWidth="1"/>
    <col min="25" max="25" width="10.85546875" style="1" customWidth="1"/>
    <col min="26" max="26" width="4.7109375" style="1" customWidth="1"/>
    <col min="27" max="27" width="10.85546875" style="1" customWidth="1"/>
    <col min="28" max="28" width="4.7109375" style="1" customWidth="1"/>
    <col min="29" max="29" width="10.85546875" style="1" customWidth="1"/>
    <col min="30" max="30" width="3.28515625" style="1" customWidth="1"/>
    <col min="31" max="31" width="4.7109375" style="1" customWidth="1"/>
    <col min="32" max="32" width="10.42578125" style="1" customWidth="1"/>
    <col min="33" max="33" width="8.7109375" style="1" customWidth="1"/>
    <col min="34" max="16384" width="10.28515625" style="1"/>
  </cols>
  <sheetData>
    <row r="1" spans="1:33" ht="15.75" x14ac:dyDescent="0.25">
      <c r="A1" s="251" t="s">
        <v>48</v>
      </c>
      <c r="B1" s="125"/>
      <c r="C1" s="125"/>
      <c r="D1" s="125"/>
      <c r="E1" s="125"/>
      <c r="F1" s="126"/>
      <c r="G1" s="126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5.75" x14ac:dyDescent="0.25">
      <c r="A2" s="251" t="s">
        <v>49</v>
      </c>
      <c r="B2" s="125"/>
      <c r="C2" s="125"/>
      <c r="D2" s="125"/>
      <c r="E2" s="125"/>
      <c r="F2" s="126"/>
      <c r="G2" s="126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x14ac:dyDescent="0.2">
      <c r="A3" s="16"/>
      <c r="B3" s="125"/>
      <c r="C3" s="125"/>
      <c r="D3" s="125"/>
      <c r="E3" s="125"/>
      <c r="F3" s="126"/>
      <c r="G3" s="126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3" ht="15.75" x14ac:dyDescent="0.25">
      <c r="A4" s="252" t="s">
        <v>50</v>
      </c>
      <c r="B4" s="125"/>
      <c r="C4" s="125"/>
      <c r="D4" s="125"/>
      <c r="E4" s="125"/>
      <c r="F4" s="126"/>
      <c r="G4" s="126"/>
      <c r="H4" s="126"/>
      <c r="I4" s="126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3" ht="12" x14ac:dyDescent="0.2">
      <c r="B5" s="1"/>
      <c r="C5" s="1"/>
      <c r="D5" s="1"/>
      <c r="E5" s="1"/>
      <c r="F5" s="37"/>
      <c r="G5" s="37"/>
      <c r="H5" s="37"/>
      <c r="I5" s="37"/>
    </row>
    <row r="6" spans="1:33" x14ac:dyDescent="0.2">
      <c r="A6" s="2" t="s">
        <v>1</v>
      </c>
      <c r="B6" s="1"/>
      <c r="C6" s="1"/>
      <c r="D6" s="1"/>
      <c r="E6" s="1"/>
      <c r="F6" s="37"/>
      <c r="G6" s="37"/>
      <c r="H6" s="37"/>
      <c r="I6" s="37"/>
    </row>
    <row r="7" spans="1:33" x14ac:dyDescent="0.2">
      <c r="A7" s="333">
        <v>3670045060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46"/>
      <c r="F9" s="539" t="s">
        <v>20</v>
      </c>
      <c r="G9" s="539"/>
      <c r="H9" s="543" t="s">
        <v>22</v>
      </c>
      <c r="I9" s="540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43" t="s">
        <v>37</v>
      </c>
      <c r="AA9" s="540"/>
      <c r="AB9" s="539" t="s">
        <v>56</v>
      </c>
      <c r="AC9" s="544"/>
      <c r="AE9" s="541" t="s">
        <v>27</v>
      </c>
      <c r="AF9" s="542"/>
      <c r="AG9" s="312" t="s">
        <v>46</v>
      </c>
    </row>
    <row r="10" spans="1:33" ht="18" customHeight="1" x14ac:dyDescent="0.2">
      <c r="A10" s="213" t="s">
        <v>8</v>
      </c>
      <c r="B10" s="304"/>
      <c r="C10" s="305"/>
      <c r="D10" s="306"/>
      <c r="E10" s="305"/>
      <c r="F10" s="307"/>
      <c r="G10" s="307"/>
      <c r="H10" s="308"/>
      <c r="I10" s="307"/>
      <c r="J10" s="308"/>
      <c r="K10" s="307"/>
      <c r="L10" s="308"/>
      <c r="M10" s="309"/>
      <c r="N10" s="307"/>
      <c r="O10" s="309"/>
      <c r="P10" s="307"/>
      <c r="Q10" s="309"/>
      <c r="R10" s="307"/>
      <c r="S10" s="309"/>
      <c r="T10" s="307"/>
      <c r="U10" s="309"/>
      <c r="V10" s="307"/>
      <c r="W10" s="309"/>
      <c r="X10" s="307"/>
      <c r="Y10" s="309"/>
      <c r="Z10" s="340"/>
      <c r="AA10" s="341"/>
      <c r="AB10" s="338"/>
      <c r="AC10" s="339"/>
      <c r="AE10" s="248"/>
      <c r="AF10" s="249"/>
      <c r="AG10" s="235"/>
    </row>
    <row r="11" spans="1:33" ht="15" customHeight="1" x14ac:dyDescent="0.2">
      <c r="A11" s="203" t="s">
        <v>9</v>
      </c>
      <c r="B11" s="19"/>
      <c r="C11" s="214"/>
      <c r="D11" s="4"/>
      <c r="E11" s="214"/>
      <c r="F11" s="39"/>
      <c r="G11" s="72"/>
      <c r="H11" s="48"/>
      <c r="I11" s="39"/>
      <c r="J11" s="48"/>
      <c r="K11" s="39"/>
      <c r="L11" s="48"/>
      <c r="M11" s="72"/>
      <c r="N11" s="345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v>1506753</v>
      </c>
      <c r="D12" s="4"/>
      <c r="E12" s="22">
        <v>1631055</v>
      </c>
      <c r="F12" s="39"/>
      <c r="G12" s="73">
        <v>1685812</v>
      </c>
      <c r="H12" s="39"/>
      <c r="I12" s="76">
        <v>1771116</v>
      </c>
      <c r="J12" s="48"/>
      <c r="K12" s="76">
        <v>1836079</v>
      </c>
      <c r="L12" s="48"/>
      <c r="M12" s="73">
        <v>1942827</v>
      </c>
      <c r="N12" s="345"/>
      <c r="O12" s="352">
        <v>1940299</v>
      </c>
      <c r="P12" s="345"/>
      <c r="Q12" s="352">
        <v>1961412</v>
      </c>
      <c r="R12" s="345"/>
      <c r="S12" s="352">
        <v>1999664</v>
      </c>
      <c r="T12" s="345"/>
      <c r="U12" s="352">
        <v>2078234</v>
      </c>
      <c r="V12" s="345"/>
      <c r="W12" s="352">
        <v>2029263</v>
      </c>
      <c r="X12" s="345"/>
      <c r="Y12" s="352">
        <v>1993315</v>
      </c>
      <c r="Z12" s="345"/>
      <c r="AA12" s="352">
        <v>2399959</v>
      </c>
      <c r="AB12" s="345"/>
      <c r="AC12" s="353">
        <v>2350618</v>
      </c>
      <c r="AD12" s="349"/>
      <c r="AE12" s="350"/>
      <c r="AF12" s="351">
        <f>AVERAGE(W12,U12,Y12,AC12,AA12)</f>
        <v>2170277.7999999998</v>
      </c>
      <c r="AG12" s="237">
        <f>+(AC12-U12)/U12</f>
        <v>0.13106512548635044</v>
      </c>
    </row>
    <row r="13" spans="1:33" ht="15" customHeight="1" x14ac:dyDescent="0.2">
      <c r="A13" s="69" t="s">
        <v>30</v>
      </c>
      <c r="B13" s="19"/>
      <c r="C13" s="22"/>
      <c r="D13" s="4"/>
      <c r="E13" s="22"/>
      <c r="F13" s="39"/>
      <c r="G13" s="73"/>
      <c r="H13" s="39"/>
      <c r="I13" s="76">
        <v>18933</v>
      </c>
      <c r="J13" s="48"/>
      <c r="K13" s="76">
        <v>19331</v>
      </c>
      <c r="L13" s="48"/>
      <c r="M13" s="73">
        <v>19828</v>
      </c>
      <c r="N13" s="345"/>
      <c r="O13" s="352">
        <v>0</v>
      </c>
      <c r="P13" s="345"/>
      <c r="Q13" s="352">
        <v>0</v>
      </c>
      <c r="R13" s="345"/>
      <c r="S13" s="352">
        <v>0</v>
      </c>
      <c r="T13" s="345"/>
      <c r="U13" s="352">
        <v>0</v>
      </c>
      <c r="V13" s="345"/>
      <c r="W13" s="352">
        <v>11978</v>
      </c>
      <c r="X13" s="345"/>
      <c r="Y13" s="352">
        <v>0</v>
      </c>
      <c r="Z13" s="345"/>
      <c r="AA13" s="352">
        <v>0</v>
      </c>
      <c r="AB13" s="345"/>
      <c r="AC13" s="353">
        <v>0</v>
      </c>
      <c r="AD13" s="349"/>
      <c r="AE13" s="354"/>
      <c r="AF13" s="351">
        <f t="shared" ref="AF13:AF21" si="0">AVERAGE(W13,U13,Y13,AC13,AA13)</f>
        <v>2395.6</v>
      </c>
      <c r="AG13" s="237">
        <v>0</v>
      </c>
    </row>
    <row r="14" spans="1:33" ht="24.75" thickBot="1" x14ac:dyDescent="0.25">
      <c r="A14" s="195" t="s">
        <v>31</v>
      </c>
      <c r="B14" s="196"/>
      <c r="C14" s="197">
        <v>740846</v>
      </c>
      <c r="D14" s="138"/>
      <c r="E14" s="197">
        <v>859810</v>
      </c>
      <c r="F14" s="200"/>
      <c r="G14" s="199">
        <v>868358</v>
      </c>
      <c r="H14" s="200"/>
      <c r="I14" s="201">
        <v>1008396</v>
      </c>
      <c r="J14" s="198"/>
      <c r="K14" s="201">
        <v>1138439</v>
      </c>
      <c r="L14" s="198"/>
      <c r="M14" s="199">
        <v>1164712</v>
      </c>
      <c r="N14" s="355"/>
      <c r="O14" s="356">
        <v>911470</v>
      </c>
      <c r="P14" s="355"/>
      <c r="Q14" s="356">
        <v>713595</v>
      </c>
      <c r="R14" s="355"/>
      <c r="S14" s="356">
        <v>825806</v>
      </c>
      <c r="T14" s="355"/>
      <c r="U14" s="356">
        <v>757215</v>
      </c>
      <c r="V14" s="355"/>
      <c r="W14" s="356">
        <v>870967</v>
      </c>
      <c r="X14" s="355"/>
      <c r="Y14" s="356">
        <v>12157</v>
      </c>
      <c r="Z14" s="355"/>
      <c r="AA14" s="356">
        <v>907205</v>
      </c>
      <c r="AB14" s="355"/>
      <c r="AC14" s="357">
        <v>891151</v>
      </c>
      <c r="AD14" s="349"/>
      <c r="AE14" s="358"/>
      <c r="AF14" s="359">
        <f t="shared" si="0"/>
        <v>687739</v>
      </c>
      <c r="AG14" s="237">
        <f t="shared" ref="AG14:AG21" si="1">+(AC14-U14)/U14</f>
        <v>0.17687975013701523</v>
      </c>
    </row>
    <row r="15" spans="1:33" ht="18.75" customHeight="1" thickBot="1" x14ac:dyDescent="0.25">
      <c r="A15" s="205" t="s">
        <v>11</v>
      </c>
      <c r="B15" s="206"/>
      <c r="C15" s="207">
        <f>SUM(C12:C14)</f>
        <v>2247599</v>
      </c>
      <c r="D15" s="274"/>
      <c r="E15" s="207">
        <f>SUM(E12:E14)</f>
        <v>2490865</v>
      </c>
      <c r="F15" s="211"/>
      <c r="G15" s="210">
        <f>SUM(G12:G14)</f>
        <v>2554170</v>
      </c>
      <c r="H15" s="211"/>
      <c r="I15" s="212">
        <f>SUM(I12:I14)</f>
        <v>2798445</v>
      </c>
      <c r="J15" s="209"/>
      <c r="K15" s="212">
        <f>SUM(K12:K14)</f>
        <v>2993849</v>
      </c>
      <c r="L15" s="209"/>
      <c r="M15" s="210">
        <f>SUM(M12:M14)</f>
        <v>3127367</v>
      </c>
      <c r="N15" s="360"/>
      <c r="O15" s="361">
        <f>SUM(O12:O14)</f>
        <v>2851769</v>
      </c>
      <c r="P15" s="360"/>
      <c r="Q15" s="361">
        <f>SUM(Q12:Q14)</f>
        <v>2675007</v>
      </c>
      <c r="R15" s="360"/>
      <c r="S15" s="361">
        <f>SUM(S12:S14)</f>
        <v>2825470</v>
      </c>
      <c r="T15" s="360"/>
      <c r="U15" s="361">
        <f>SUM(U12:U14)</f>
        <v>2835449</v>
      </c>
      <c r="V15" s="360"/>
      <c r="W15" s="361">
        <f>SUM(W12:W14)</f>
        <v>2912208</v>
      </c>
      <c r="X15" s="360"/>
      <c r="Y15" s="361">
        <f>SUM(Y12:Y14)</f>
        <v>2005472</v>
      </c>
      <c r="Z15" s="360"/>
      <c r="AA15" s="361">
        <f>SUM(AA12:AA14)</f>
        <v>3307164</v>
      </c>
      <c r="AB15" s="360"/>
      <c r="AC15" s="362">
        <f>SUM(AC12:AC14)</f>
        <v>3241769</v>
      </c>
      <c r="AD15" s="349"/>
      <c r="AE15" s="363"/>
      <c r="AF15" s="364">
        <f t="shared" si="0"/>
        <v>2860412.4</v>
      </c>
      <c r="AG15" s="238">
        <f t="shared" si="1"/>
        <v>0.14330005582890046</v>
      </c>
    </row>
    <row r="16" spans="1:33" ht="15" customHeight="1" x14ac:dyDescent="0.2">
      <c r="A16" s="203" t="s">
        <v>12</v>
      </c>
      <c r="B16" s="19"/>
      <c r="C16" s="22"/>
      <c r="D16" s="4"/>
      <c r="E16" s="22"/>
      <c r="F16" s="39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>
        <v>58787</v>
      </c>
      <c r="D17" s="5"/>
      <c r="E17" s="23">
        <v>63782</v>
      </c>
      <c r="F17" s="40"/>
      <c r="G17" s="74">
        <v>65403</v>
      </c>
      <c r="H17" s="40"/>
      <c r="I17" s="77">
        <v>67768</v>
      </c>
      <c r="J17" s="49"/>
      <c r="K17" s="77">
        <v>69532</v>
      </c>
      <c r="L17" s="49"/>
      <c r="M17" s="74">
        <v>69115</v>
      </c>
      <c r="N17" s="367"/>
      <c r="O17" s="368">
        <v>0</v>
      </c>
      <c r="P17" s="367"/>
      <c r="Q17" s="368">
        <v>0</v>
      </c>
      <c r="R17" s="367"/>
      <c r="S17" s="368">
        <v>0</v>
      </c>
      <c r="T17" s="367"/>
      <c r="U17" s="368">
        <v>0</v>
      </c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>
        <f t="shared" si="0"/>
        <v>0</v>
      </c>
      <c r="AG17" s="237"/>
    </row>
    <row r="18" spans="1:33" ht="15" customHeight="1" x14ac:dyDescent="0.2">
      <c r="A18" s="69" t="s">
        <v>30</v>
      </c>
      <c r="B18" s="20"/>
      <c r="C18" s="23"/>
      <c r="D18" s="5"/>
      <c r="E18" s="23"/>
      <c r="F18" s="40"/>
      <c r="G18" s="74"/>
      <c r="H18" s="40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4.75" thickBot="1" x14ac:dyDescent="0.25">
      <c r="A19" s="195" t="s">
        <v>32</v>
      </c>
      <c r="B19" s="196"/>
      <c r="C19" s="197"/>
      <c r="D19" s="138"/>
      <c r="E19" s="197"/>
      <c r="F19" s="200"/>
      <c r="G19" s="199"/>
      <c r="H19" s="200"/>
      <c r="I19" s="201"/>
      <c r="J19" s="198"/>
      <c r="K19" s="201"/>
      <c r="L19" s="198"/>
      <c r="M19" s="199"/>
      <c r="N19" s="35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58787</v>
      </c>
      <c r="D20" s="274"/>
      <c r="E20" s="207">
        <f>SUM(E17:E19)</f>
        <v>63782</v>
      </c>
      <c r="F20" s="211"/>
      <c r="G20" s="210">
        <f>SUM(G17:G19)</f>
        <v>65403</v>
      </c>
      <c r="H20" s="211"/>
      <c r="I20" s="212">
        <f>SUM(I17:I19)</f>
        <v>67768</v>
      </c>
      <c r="J20" s="209"/>
      <c r="K20" s="212">
        <f>SUM(K17:K19)</f>
        <v>69532</v>
      </c>
      <c r="L20" s="209"/>
      <c r="M20" s="210">
        <f>SUM(M17:M19)</f>
        <v>69115</v>
      </c>
      <c r="N20" s="360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216" t="s">
        <v>14</v>
      </c>
      <c r="B21" s="217"/>
      <c r="C21" s="218">
        <f>SUM(C15,C20)</f>
        <v>2306386</v>
      </c>
      <c r="D21" s="265"/>
      <c r="E21" s="218">
        <f>SUM(E15,E20)</f>
        <v>2554647</v>
      </c>
      <c r="F21" s="222"/>
      <c r="G21" s="221">
        <f>SUM(G15,G20)</f>
        <v>2619573</v>
      </c>
      <c r="H21" s="222"/>
      <c r="I21" s="223">
        <f>SUM(I15,I20)</f>
        <v>2866213</v>
      </c>
      <c r="J21" s="220"/>
      <c r="K21" s="223">
        <f>SUM(K15,K20)</f>
        <v>3063381</v>
      </c>
      <c r="L21" s="220"/>
      <c r="M21" s="221">
        <f>SUM(M15,M20)</f>
        <v>3196482</v>
      </c>
      <c r="N21" s="370"/>
      <c r="O21" s="371">
        <f>SUM(O15,O20)</f>
        <v>2851769</v>
      </c>
      <c r="P21" s="370"/>
      <c r="Q21" s="371">
        <f>SUM(Q15,Q20)</f>
        <v>2675007</v>
      </c>
      <c r="R21" s="370"/>
      <c r="S21" s="371">
        <f>SUM(S15,S20)</f>
        <v>2825470</v>
      </c>
      <c r="T21" s="370"/>
      <c r="U21" s="371">
        <f>SUM(U15,U20)</f>
        <v>2835449</v>
      </c>
      <c r="V21" s="370"/>
      <c r="W21" s="371">
        <f>SUM(W15,W20)</f>
        <v>2912208</v>
      </c>
      <c r="X21" s="370"/>
      <c r="Y21" s="371">
        <f>SUM(Y15,Y20)</f>
        <v>2005472</v>
      </c>
      <c r="Z21" s="370"/>
      <c r="AA21" s="371">
        <f>SUM(AA15,AA20)</f>
        <v>3307164</v>
      </c>
      <c r="AB21" s="370"/>
      <c r="AC21" s="372">
        <f>SUM(AC15,AC20)</f>
        <v>3241769</v>
      </c>
      <c r="AD21" s="349"/>
      <c r="AE21" s="373"/>
      <c r="AF21" s="374">
        <f t="shared" si="0"/>
        <v>2860412.4</v>
      </c>
      <c r="AG21" s="242">
        <f t="shared" si="1"/>
        <v>0.14330005582890046</v>
      </c>
    </row>
    <row r="22" spans="1:33" ht="18" customHeight="1" x14ac:dyDescent="0.2">
      <c r="A22" s="264" t="s">
        <v>38</v>
      </c>
      <c r="B22" s="559" t="s">
        <v>6</v>
      </c>
      <c r="C22" s="560"/>
      <c r="D22" s="561" t="s">
        <v>7</v>
      </c>
      <c r="E22" s="560"/>
      <c r="F22" s="552" t="s">
        <v>20</v>
      </c>
      <c r="G22" s="551"/>
      <c r="H22" s="550" t="s">
        <v>22</v>
      </c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1"/>
      <c r="AC22" s="536"/>
      <c r="AD22" s="349"/>
      <c r="AE22" s="527"/>
      <c r="AF22" s="528"/>
      <c r="AG22" s="243"/>
    </row>
    <row r="23" spans="1:33" ht="15" customHeight="1" x14ac:dyDescent="0.2">
      <c r="A23" s="310" t="s">
        <v>41</v>
      </c>
      <c r="B23" s="28"/>
      <c r="C23" s="29">
        <f>190990+1044984</f>
        <v>1235974</v>
      </c>
      <c r="D23" s="7"/>
      <c r="E23" s="29">
        <v>1370612</v>
      </c>
      <c r="F23" s="98"/>
      <c r="G23" s="100">
        <v>1416424.65</v>
      </c>
      <c r="H23" s="98"/>
      <c r="I23" s="98">
        <v>1810307.43</v>
      </c>
      <c r="J23" s="114"/>
      <c r="K23" s="98">
        <f>1517717+3170+96766</f>
        <v>1617653</v>
      </c>
      <c r="L23" s="114"/>
      <c r="M23" s="100">
        <v>1843039</v>
      </c>
      <c r="N23" s="492"/>
      <c r="O23" s="463">
        <v>1891271</v>
      </c>
      <c r="P23" s="492"/>
      <c r="Q23" s="463">
        <v>2018348</v>
      </c>
      <c r="R23" s="492"/>
      <c r="S23" s="463">
        <v>2050067</v>
      </c>
      <c r="T23" s="492"/>
      <c r="U23" s="463">
        <v>1502131</v>
      </c>
      <c r="V23" s="492"/>
      <c r="W23" s="463">
        <v>1715384.93</v>
      </c>
      <c r="X23" s="493"/>
      <c r="Y23" s="464">
        <v>1690607</v>
      </c>
      <c r="Z23" s="493"/>
      <c r="AA23" s="464">
        <v>1817993</v>
      </c>
      <c r="AB23" s="493"/>
      <c r="AC23" s="465"/>
      <c r="AD23" s="349"/>
      <c r="AE23" s="350"/>
      <c r="AF23" s="351">
        <f>AVERAGE(U23,AA23,S23,W23,Y23)</f>
        <v>1755236.5859999999</v>
      </c>
      <c r="AG23" s="237">
        <f>+(AA23-S23)/S23</f>
        <v>-0.11320312945869573</v>
      </c>
    </row>
    <row r="24" spans="1:33" ht="15" customHeight="1" x14ac:dyDescent="0.2">
      <c r="A24" s="262" t="s">
        <v>39</v>
      </c>
      <c r="B24" s="27"/>
      <c r="C24" s="35"/>
      <c r="D24" s="9"/>
      <c r="E24" s="35"/>
      <c r="F24" s="27"/>
      <c r="G24" s="35">
        <v>1772972.4899999998</v>
      </c>
      <c r="H24" s="27"/>
      <c r="I24" s="35">
        <v>1951223.9400000009</v>
      </c>
      <c r="J24" s="27"/>
      <c r="K24" s="35">
        <v>2078380.7100000016</v>
      </c>
      <c r="L24" s="27"/>
      <c r="M24" s="35">
        <v>2191055.3400000008</v>
      </c>
      <c r="N24" s="429"/>
      <c r="O24" s="430">
        <v>2008086.8400000008</v>
      </c>
      <c r="P24" s="429"/>
      <c r="Q24" s="430">
        <v>2033266.2999999996</v>
      </c>
      <c r="R24" s="429"/>
      <c r="S24" s="430">
        <v>2450279.9300000025</v>
      </c>
      <c r="T24" s="429"/>
      <c r="U24" s="430">
        <v>3124900.8400000031</v>
      </c>
      <c r="V24" s="429"/>
      <c r="W24" s="430">
        <v>3022541.1600000048</v>
      </c>
      <c r="X24" s="454"/>
      <c r="Y24" s="455">
        <v>2347873</v>
      </c>
      <c r="Z24" s="454"/>
      <c r="AA24" s="455">
        <v>2425758</v>
      </c>
      <c r="AB24" s="454"/>
      <c r="AC24" s="381"/>
      <c r="AD24" s="349"/>
      <c r="AE24" s="350"/>
      <c r="AF24" s="351">
        <f t="shared" ref="AF24:AF25" si="2">AVERAGE(U24,AA24,S24,W24,Y24)</f>
        <v>2674270.586000002</v>
      </c>
      <c r="AG24" s="237">
        <f t="shared" ref="AG24:AG25" si="3">+(AA24-S24)/S24</f>
        <v>-1.0007807556911455E-2</v>
      </c>
    </row>
    <row r="25" spans="1:33" ht="15" customHeight="1" thickBot="1" x14ac:dyDescent="0.25">
      <c r="A25" s="263" t="s">
        <v>40</v>
      </c>
      <c r="B25" s="172"/>
      <c r="C25" s="173"/>
      <c r="D25" s="174"/>
      <c r="E25" s="177"/>
      <c r="F25" s="172"/>
      <c r="G25" s="173">
        <v>90298.28</v>
      </c>
      <c r="H25" s="172"/>
      <c r="I25" s="173">
        <v>75908.12</v>
      </c>
      <c r="J25" s="172"/>
      <c r="K25" s="173">
        <v>137873.78</v>
      </c>
      <c r="L25" s="172"/>
      <c r="M25" s="173">
        <v>105519.74</v>
      </c>
      <c r="N25" s="466"/>
      <c r="O25" s="467">
        <v>99985.24</v>
      </c>
      <c r="P25" s="466"/>
      <c r="Q25" s="467">
        <v>68994.98</v>
      </c>
      <c r="R25" s="466"/>
      <c r="S25" s="467">
        <v>57732.6</v>
      </c>
      <c r="T25" s="466"/>
      <c r="U25" s="467">
        <v>98960.01</v>
      </c>
      <c r="V25" s="466"/>
      <c r="W25" s="467">
        <v>72979.37</v>
      </c>
      <c r="X25" s="495"/>
      <c r="Y25" s="468">
        <v>84233</v>
      </c>
      <c r="Z25" s="495"/>
      <c r="AA25" s="468">
        <v>78794</v>
      </c>
      <c r="AB25" s="495"/>
      <c r="AC25" s="469"/>
      <c r="AD25" s="349"/>
      <c r="AE25" s="386"/>
      <c r="AF25" s="351">
        <f t="shared" si="2"/>
        <v>78539.796000000002</v>
      </c>
      <c r="AG25" s="237">
        <f t="shared" si="3"/>
        <v>0.36480948372323441</v>
      </c>
    </row>
    <row r="26" spans="1:33" ht="18" customHeight="1" thickTop="1" x14ac:dyDescent="0.2">
      <c r="A26" s="119" t="s">
        <v>52</v>
      </c>
      <c r="B26" s="142" t="s">
        <v>18</v>
      </c>
      <c r="C26" s="143" t="s">
        <v>19</v>
      </c>
      <c r="D26" s="144" t="s">
        <v>18</v>
      </c>
      <c r="E26" s="143" t="s">
        <v>19</v>
      </c>
      <c r="F26" s="93" t="s">
        <v>18</v>
      </c>
      <c r="G26" s="145" t="s">
        <v>19</v>
      </c>
      <c r="H26" s="93" t="s">
        <v>18</v>
      </c>
      <c r="I26" s="146" t="s">
        <v>19</v>
      </c>
      <c r="J26" s="184" t="s">
        <v>18</v>
      </c>
      <c r="K26" s="185" t="s">
        <v>19</v>
      </c>
      <c r="L26" s="184" t="s">
        <v>18</v>
      </c>
      <c r="M26" s="185" t="s">
        <v>19</v>
      </c>
      <c r="N26" s="496" t="s">
        <v>18</v>
      </c>
      <c r="O26" s="497" t="s">
        <v>19</v>
      </c>
      <c r="P26" s="496" t="s">
        <v>18</v>
      </c>
      <c r="Q26" s="497" t="s">
        <v>19</v>
      </c>
      <c r="R26" s="496" t="s">
        <v>18</v>
      </c>
      <c r="S26" s="497" t="s">
        <v>19</v>
      </c>
      <c r="T26" s="496" t="s">
        <v>18</v>
      </c>
      <c r="U26" s="497" t="s">
        <v>19</v>
      </c>
      <c r="V26" s="496" t="s">
        <v>18</v>
      </c>
      <c r="W26" s="497" t="s">
        <v>19</v>
      </c>
      <c r="X26" s="498" t="s">
        <v>18</v>
      </c>
      <c r="Y26" s="488" t="s">
        <v>19</v>
      </c>
      <c r="Z26" s="498" t="s">
        <v>18</v>
      </c>
      <c r="AA26" s="488" t="s">
        <v>19</v>
      </c>
      <c r="AB26" s="498" t="s">
        <v>18</v>
      </c>
      <c r="AC26" s="489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44</v>
      </c>
      <c r="B27" s="63">
        <v>36</v>
      </c>
      <c r="C27" s="82">
        <v>3893707</v>
      </c>
      <c r="D27" s="113">
        <v>35</v>
      </c>
      <c r="E27" s="95">
        <v>3181950</v>
      </c>
      <c r="F27" s="97">
        <v>36</v>
      </c>
      <c r="G27" s="90">
        <v>4170105</v>
      </c>
      <c r="H27" s="87">
        <v>31</v>
      </c>
      <c r="I27" s="90">
        <v>2474905</v>
      </c>
      <c r="J27" s="186">
        <v>20</v>
      </c>
      <c r="K27" s="259">
        <v>1134833</v>
      </c>
      <c r="L27" s="186">
        <v>29</v>
      </c>
      <c r="M27" s="259">
        <v>2678373</v>
      </c>
      <c r="N27" s="394">
        <v>34</v>
      </c>
      <c r="O27" s="499">
        <v>3887795</v>
      </c>
      <c r="P27" s="394">
        <v>26</v>
      </c>
      <c r="Q27" s="499">
        <v>2396052</v>
      </c>
      <c r="R27" s="394">
        <v>40</v>
      </c>
      <c r="S27" s="499">
        <v>4225764</v>
      </c>
      <c r="T27" s="394">
        <v>25</v>
      </c>
      <c r="U27" s="499">
        <v>5520281</v>
      </c>
      <c r="V27" s="394">
        <v>19</v>
      </c>
      <c r="W27" s="499">
        <v>1009245</v>
      </c>
      <c r="X27" s="394">
        <v>33</v>
      </c>
      <c r="Y27" s="499">
        <v>2635228</v>
      </c>
      <c r="Z27" s="394">
        <v>46</v>
      </c>
      <c r="AA27" s="499">
        <v>5886040</v>
      </c>
      <c r="AB27" s="500"/>
      <c r="AC27" s="490"/>
      <c r="AD27" s="349"/>
      <c r="AE27" s="283">
        <f>AVERAGE(T27,R27,Z27,X27,V27)</f>
        <v>32.6</v>
      </c>
      <c r="AF27" s="398">
        <f t="shared" ref="AF27:AF28" si="4">AVERAGE(U27,AA27,S27,W27,Y27)</f>
        <v>3855311.6</v>
      </c>
      <c r="AG27" s="237">
        <f t="shared" ref="AG27:AG28" si="5">+(AA27-S27)/S27</f>
        <v>0.3928936873900199</v>
      </c>
    </row>
    <row r="28" spans="1:33" ht="15" customHeight="1" thickBot="1" x14ac:dyDescent="0.25">
      <c r="A28" s="71" t="s">
        <v>45</v>
      </c>
      <c r="B28" s="148">
        <v>24</v>
      </c>
      <c r="C28" s="34">
        <v>1573066</v>
      </c>
      <c r="D28" s="149">
        <v>23</v>
      </c>
      <c r="E28" s="150">
        <v>1909029</v>
      </c>
      <c r="F28" s="151">
        <v>21</v>
      </c>
      <c r="G28" s="154">
        <v>1624687</v>
      </c>
      <c r="H28" s="160">
        <v>20</v>
      </c>
      <c r="I28" s="154">
        <v>1825080</v>
      </c>
      <c r="J28" s="311">
        <v>12</v>
      </c>
      <c r="K28" s="189">
        <v>1519056</v>
      </c>
      <c r="L28" s="188">
        <v>20</v>
      </c>
      <c r="M28" s="189">
        <v>2642966</v>
      </c>
      <c r="N28" s="311">
        <v>19</v>
      </c>
      <c r="O28" s="399">
        <v>2850820</v>
      </c>
      <c r="P28" s="311">
        <v>24</v>
      </c>
      <c r="Q28" s="399">
        <v>2279751</v>
      </c>
      <c r="R28" s="311">
        <v>20</v>
      </c>
      <c r="S28" s="399">
        <v>1505432</v>
      </c>
      <c r="T28" s="311">
        <v>15</v>
      </c>
      <c r="U28" s="399">
        <v>2753232</v>
      </c>
      <c r="V28" s="311">
        <v>17</v>
      </c>
      <c r="W28" s="399">
        <v>1193043</v>
      </c>
      <c r="X28" s="311">
        <v>18</v>
      </c>
      <c r="Y28" s="399">
        <v>1630957</v>
      </c>
      <c r="Z28" s="311">
        <v>31</v>
      </c>
      <c r="AA28" s="399">
        <v>2674909</v>
      </c>
      <c r="AB28" s="501"/>
      <c r="AC28" s="401"/>
      <c r="AD28" s="349"/>
      <c r="AE28" s="283">
        <f>AVERAGE(T28,R28,Z28,X28,V28)</f>
        <v>20.2</v>
      </c>
      <c r="AF28" s="402">
        <f t="shared" si="4"/>
        <v>1951514.6</v>
      </c>
      <c r="AG28" s="237">
        <f t="shared" si="5"/>
        <v>0.77683814346978142</v>
      </c>
    </row>
    <row r="29" spans="1:33" ht="18" customHeight="1" thickTop="1" x14ac:dyDescent="0.2">
      <c r="A29" s="119" t="s">
        <v>15</v>
      </c>
      <c r="B29" s="562" t="s">
        <v>6</v>
      </c>
      <c r="C29" s="563"/>
      <c r="D29" s="564" t="s">
        <v>7</v>
      </c>
      <c r="E29" s="563"/>
      <c r="F29" s="555" t="s">
        <v>20</v>
      </c>
      <c r="G29" s="554"/>
      <c r="H29" s="553" t="s">
        <v>22</v>
      </c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5" customHeight="1" x14ac:dyDescent="0.2">
      <c r="A30" s="70" t="s">
        <v>16</v>
      </c>
      <c r="B30" s="28"/>
      <c r="C30" s="33">
        <v>198395.79</v>
      </c>
      <c r="D30" s="7"/>
      <c r="E30" s="33">
        <v>47380.2</v>
      </c>
      <c r="F30" s="45"/>
      <c r="G30" s="103">
        <v>103219</v>
      </c>
      <c r="H30" s="85"/>
      <c r="I30" s="105">
        <v>183266</v>
      </c>
      <c r="J30" s="56"/>
      <c r="K30" s="105">
        <v>293701.15999999997</v>
      </c>
      <c r="L30" s="56"/>
      <c r="M30" s="131">
        <v>214186</v>
      </c>
      <c r="N30" s="345"/>
      <c r="O30" s="445">
        <v>158198</v>
      </c>
      <c r="P30" s="345"/>
      <c r="Q30" s="445">
        <v>470461.67</v>
      </c>
      <c r="R30" s="345"/>
      <c r="S30" s="445">
        <v>234487.35</v>
      </c>
      <c r="T30" s="345"/>
      <c r="U30" s="445">
        <v>242190.62</v>
      </c>
      <c r="V30" s="345"/>
      <c r="W30" s="445">
        <v>112150.33</v>
      </c>
      <c r="X30" s="404"/>
      <c r="Y30" s="447">
        <v>247437.88</v>
      </c>
      <c r="Z30" s="404"/>
      <c r="AA30" s="447">
        <v>235906</v>
      </c>
      <c r="AB30" s="404"/>
      <c r="AC30" s="448"/>
      <c r="AD30" s="349"/>
      <c r="AE30" s="350"/>
      <c r="AF30" s="406">
        <f t="shared" ref="AF30:AF31" si="6">AVERAGE(U30,AA30,S30,W30,Y30)</f>
        <v>214434.43599999999</v>
      </c>
      <c r="AG30" s="245">
        <f t="shared" ref="AG30:AG31" si="7">+(AA30-S30)/S30</f>
        <v>6.0500065355337685E-3</v>
      </c>
    </row>
    <row r="31" spans="1:33" ht="15" customHeight="1" thickBot="1" x14ac:dyDescent="0.25">
      <c r="A31" s="71" t="s">
        <v>17</v>
      </c>
      <c r="B31" s="30"/>
      <c r="C31" s="34">
        <v>0</v>
      </c>
      <c r="D31" s="8"/>
      <c r="E31" s="62">
        <v>0</v>
      </c>
      <c r="F31" s="46"/>
      <c r="G31" s="62">
        <v>0</v>
      </c>
      <c r="H31" s="46"/>
      <c r="I31" s="62">
        <v>52242.3</v>
      </c>
      <c r="J31" s="57"/>
      <c r="K31" s="78">
        <v>197773.33</v>
      </c>
      <c r="L31" s="57"/>
      <c r="M31" s="75">
        <v>542364.67000000004</v>
      </c>
      <c r="N31" s="449"/>
      <c r="O31" s="476">
        <v>646323</v>
      </c>
      <c r="P31" s="449"/>
      <c r="Q31" s="476">
        <v>1258288.6599999999</v>
      </c>
      <c r="R31" s="449"/>
      <c r="S31" s="476">
        <v>1214779.48</v>
      </c>
      <c r="T31" s="449"/>
      <c r="U31" s="476">
        <v>1405712.78</v>
      </c>
      <c r="V31" s="449"/>
      <c r="W31" s="476">
        <v>1610552.39</v>
      </c>
      <c r="X31" s="433"/>
      <c r="Y31" s="477">
        <v>1567251.29</v>
      </c>
      <c r="Z31" s="433"/>
      <c r="AA31" s="477">
        <v>1477123</v>
      </c>
      <c r="AB31" s="433"/>
      <c r="AC31" s="478"/>
      <c r="AD31" s="502"/>
      <c r="AE31" s="386"/>
      <c r="AF31" s="411">
        <f t="shared" si="6"/>
        <v>1455083.7880000002</v>
      </c>
      <c r="AG31" s="292">
        <f t="shared" si="7"/>
        <v>0.21595978884990716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E9:AF9"/>
    <mergeCell ref="N9:O9"/>
    <mergeCell ref="V9:W9"/>
    <mergeCell ref="R9:S9"/>
    <mergeCell ref="P9:Q9"/>
    <mergeCell ref="X9:Y9"/>
    <mergeCell ref="Z9:AA9"/>
    <mergeCell ref="T9:U9"/>
    <mergeCell ref="AB9:AC9"/>
    <mergeCell ref="L9:M9"/>
    <mergeCell ref="B9:C9"/>
    <mergeCell ref="D9:E9"/>
    <mergeCell ref="F9:G9"/>
    <mergeCell ref="H9:I9"/>
    <mergeCell ref="J9:K9"/>
  </mergeCells>
  <phoneticPr fontId="0" type="noConversion"/>
  <printOptions horizontalCentered="1" verticalCentered="1"/>
  <pageMargins left="0.5" right="0.5" top="0.5" bottom="0.95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32"/>
  <sheetViews>
    <sheetView zoomScaleNormal="100" zoomScaleSheetLayoutView="100" workbookViewId="0">
      <pane xSplit="1" ySplit="1" topLeftCell="J16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29.855468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8" x14ac:dyDescent="0.25">
      <c r="A1" s="251" t="s">
        <v>48</v>
      </c>
      <c r="B1" s="124"/>
      <c r="C1" s="124"/>
      <c r="D1" s="124"/>
      <c r="E1" s="124"/>
      <c r="F1" s="124"/>
      <c r="G1" s="124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8" x14ac:dyDescent="0.25">
      <c r="A2" s="251" t="s">
        <v>49</v>
      </c>
      <c r="B2" s="124"/>
      <c r="C2" s="124"/>
      <c r="D2" s="124"/>
      <c r="E2" s="124"/>
      <c r="F2" s="124"/>
      <c r="G2" s="124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ht="18" x14ac:dyDescent="0.25">
      <c r="A3" s="16"/>
      <c r="B3" s="124"/>
      <c r="C3" s="124"/>
      <c r="D3" s="124"/>
      <c r="E3" s="124"/>
      <c r="F3" s="124"/>
      <c r="G3" s="124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3" ht="15.75" x14ac:dyDescent="0.25">
      <c r="A4" s="252" t="s">
        <v>50</v>
      </c>
      <c r="B4" s="1"/>
      <c r="C4" s="1"/>
      <c r="D4" s="1"/>
      <c r="E4" s="1"/>
      <c r="F4" s="37"/>
      <c r="G4" s="37"/>
      <c r="H4" s="37"/>
      <c r="I4" s="37"/>
    </row>
    <row r="5" spans="1:33" s="3" customFormat="1" x14ac:dyDescent="0.2">
      <c r="A5" s="16"/>
      <c r="F5" s="13"/>
      <c r="G5" s="13"/>
      <c r="H5" s="13"/>
      <c r="I5" s="13"/>
      <c r="AG5" s="1"/>
    </row>
    <row r="6" spans="1:33" x14ac:dyDescent="0.2">
      <c r="A6" s="16" t="s">
        <v>42</v>
      </c>
      <c r="B6" s="14"/>
      <c r="C6" s="159"/>
      <c r="D6" s="14"/>
      <c r="E6" s="159"/>
      <c r="F6" s="79"/>
      <c r="G6" s="80"/>
      <c r="H6" s="79"/>
      <c r="I6" s="80"/>
      <c r="J6" s="79"/>
      <c r="K6" s="80"/>
      <c r="L6" s="79"/>
      <c r="M6" s="80"/>
      <c r="N6" s="79"/>
      <c r="O6" s="80"/>
      <c r="P6" s="79"/>
      <c r="Q6" s="80"/>
      <c r="R6" s="79"/>
      <c r="S6" s="80"/>
      <c r="T6" s="79"/>
      <c r="U6" s="80"/>
      <c r="V6" s="79"/>
      <c r="W6" s="80"/>
      <c r="X6" s="79"/>
      <c r="Y6" s="80"/>
      <c r="Z6" s="79"/>
      <c r="AA6" s="80"/>
      <c r="AB6" s="79"/>
      <c r="AC6" s="80"/>
      <c r="AF6" s="3"/>
    </row>
    <row r="7" spans="1:33" x14ac:dyDescent="0.2">
      <c r="A7" s="333">
        <v>3670045065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59"/>
      <c r="B9" s="545" t="s">
        <v>6</v>
      </c>
      <c r="C9" s="546"/>
      <c r="D9" s="558" t="s">
        <v>7</v>
      </c>
      <c r="E9" s="558"/>
      <c r="F9" s="543" t="s">
        <v>20</v>
      </c>
      <c r="G9" s="540"/>
      <c r="H9" s="556" t="s">
        <v>22</v>
      </c>
      <c r="I9" s="556"/>
      <c r="J9" s="576" t="s">
        <v>23</v>
      </c>
      <c r="K9" s="575"/>
      <c r="L9" s="556" t="s">
        <v>24</v>
      </c>
      <c r="M9" s="575"/>
      <c r="N9" s="576" t="s">
        <v>28</v>
      </c>
      <c r="O9" s="575"/>
      <c r="P9" s="556" t="s">
        <v>29</v>
      </c>
      <c r="Q9" s="575"/>
      <c r="R9" s="556" t="s">
        <v>33</v>
      </c>
      <c r="S9" s="575"/>
      <c r="T9" s="556" t="s">
        <v>34</v>
      </c>
      <c r="U9" s="575"/>
      <c r="V9" s="556" t="s">
        <v>35</v>
      </c>
      <c r="W9" s="575"/>
      <c r="X9" s="556" t="s">
        <v>36</v>
      </c>
      <c r="Y9" s="575"/>
      <c r="Z9" s="556" t="s">
        <v>37</v>
      </c>
      <c r="AA9" s="575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thickBot="1" x14ac:dyDescent="0.25">
      <c r="A10" s="320" t="s">
        <v>8</v>
      </c>
      <c r="B10" s="228"/>
      <c r="C10" s="229"/>
      <c r="D10" s="122"/>
      <c r="E10" s="122"/>
      <c r="F10" s="230"/>
      <c r="G10" s="231"/>
      <c r="H10" s="232"/>
      <c r="I10" s="232"/>
      <c r="J10" s="279"/>
      <c r="K10" s="281"/>
      <c r="L10" s="280"/>
      <c r="M10" s="281"/>
      <c r="N10" s="503"/>
      <c r="O10" s="414"/>
      <c r="P10" s="413"/>
      <c r="Q10" s="414"/>
      <c r="R10" s="413"/>
      <c r="S10" s="414"/>
      <c r="T10" s="413"/>
      <c r="U10" s="414"/>
      <c r="V10" s="413"/>
      <c r="W10" s="414"/>
      <c r="X10" s="413"/>
      <c r="Y10" s="414"/>
      <c r="Z10" s="413"/>
      <c r="AA10" s="414"/>
      <c r="AB10" s="413"/>
      <c r="AC10" s="415"/>
      <c r="AD10" s="349"/>
      <c r="AE10" s="416"/>
      <c r="AF10" s="417"/>
      <c r="AG10" s="235"/>
    </row>
    <row r="11" spans="1:33" ht="12" x14ac:dyDescent="0.2">
      <c r="A11" s="17" t="s">
        <v>9</v>
      </c>
      <c r="B11" s="20"/>
      <c r="C11" s="21"/>
      <c r="D11" s="5"/>
      <c r="E11" s="5"/>
      <c r="F11" s="49"/>
      <c r="G11" s="47"/>
      <c r="H11" s="52"/>
      <c r="I11" s="41"/>
      <c r="J11" s="48"/>
      <c r="K11" s="72"/>
      <c r="L11" s="39"/>
      <c r="M11" s="72"/>
      <c r="N11" s="504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2" x14ac:dyDescent="0.2">
      <c r="A12" s="18" t="s">
        <v>10</v>
      </c>
      <c r="B12" s="19"/>
      <c r="C12" s="22">
        <v>2212174</v>
      </c>
      <c r="D12" s="4"/>
      <c r="E12" s="31">
        <v>2362590</v>
      </c>
      <c r="F12" s="48"/>
      <c r="G12" s="73">
        <v>2436920</v>
      </c>
      <c r="H12" s="39"/>
      <c r="I12" s="76">
        <v>2525022</v>
      </c>
      <c r="J12" s="48"/>
      <c r="K12" s="73">
        <v>2589892</v>
      </c>
      <c r="L12" s="39"/>
      <c r="M12" s="73">
        <v>2699083</v>
      </c>
      <c r="N12" s="504"/>
      <c r="O12" s="352">
        <v>2714828</v>
      </c>
      <c r="P12" s="345"/>
      <c r="Q12" s="352">
        <v>2749217</v>
      </c>
      <c r="R12" s="345"/>
      <c r="S12" s="352">
        <v>2863893</v>
      </c>
      <c r="T12" s="345"/>
      <c r="U12" s="352">
        <v>2964702</v>
      </c>
      <c r="V12" s="345"/>
      <c r="W12" s="352">
        <v>2981180</v>
      </c>
      <c r="X12" s="345"/>
      <c r="Y12" s="352">
        <v>3480478</v>
      </c>
      <c r="Z12" s="345"/>
      <c r="AA12" s="352">
        <v>3276780</v>
      </c>
      <c r="AB12" s="345"/>
      <c r="AC12" s="353">
        <v>3208966</v>
      </c>
      <c r="AD12" s="349"/>
      <c r="AE12" s="350"/>
      <c r="AF12" s="351">
        <f>AVERAGE(W12,U12,Y12,AC12,AA12)</f>
        <v>3182421.2</v>
      </c>
      <c r="AG12" s="237">
        <f>+(AC12-U12)/U12</f>
        <v>8.2390742813274326E-2</v>
      </c>
    </row>
    <row r="13" spans="1:33" ht="12" x14ac:dyDescent="0.2">
      <c r="A13" s="69" t="s">
        <v>30</v>
      </c>
      <c r="B13" s="19"/>
      <c r="C13" s="22"/>
      <c r="D13" s="4"/>
      <c r="E13" s="31"/>
      <c r="F13" s="48"/>
      <c r="G13" s="133"/>
      <c r="H13" s="39"/>
      <c r="I13" s="73">
        <v>72313</v>
      </c>
      <c r="J13" s="39"/>
      <c r="K13" s="73">
        <v>53840</v>
      </c>
      <c r="L13" s="39"/>
      <c r="M13" s="73">
        <v>55837</v>
      </c>
      <c r="N13" s="345"/>
      <c r="O13" s="352">
        <v>25000</v>
      </c>
      <c r="P13" s="345"/>
      <c r="Q13" s="352">
        <v>25000</v>
      </c>
      <c r="R13" s="345"/>
      <c r="S13" s="352">
        <v>25000</v>
      </c>
      <c r="T13" s="345"/>
      <c r="U13" s="352">
        <v>25000</v>
      </c>
      <c r="V13" s="345"/>
      <c r="W13" s="352">
        <v>25000</v>
      </c>
      <c r="X13" s="345"/>
      <c r="Y13" s="352">
        <v>25000</v>
      </c>
      <c r="Z13" s="345"/>
      <c r="AA13" s="352">
        <v>25000</v>
      </c>
      <c r="AB13" s="345"/>
      <c r="AC13" s="353">
        <v>25000</v>
      </c>
      <c r="AD13" s="349"/>
      <c r="AE13" s="354"/>
      <c r="AF13" s="351">
        <f t="shared" ref="AF13:AF21" si="0">AVERAGE(W13,U13,Y13,AC13,AA13)</f>
        <v>25000</v>
      </c>
      <c r="AG13" s="237">
        <f t="shared" ref="AG13:AG21" si="1">+(AC13-U13)/U13</f>
        <v>0</v>
      </c>
    </row>
    <row r="14" spans="1:33" ht="36.75" thickBot="1" x14ac:dyDescent="0.25">
      <c r="A14" s="313" t="s">
        <v>31</v>
      </c>
      <c r="B14" s="196"/>
      <c r="C14" s="197">
        <v>890765</v>
      </c>
      <c r="D14" s="138"/>
      <c r="E14" s="288">
        <v>1974935</v>
      </c>
      <c r="F14" s="198"/>
      <c r="G14" s="199">
        <v>2074642</v>
      </c>
      <c r="H14" s="200"/>
      <c r="I14" s="201">
        <v>2027629</v>
      </c>
      <c r="J14" s="198"/>
      <c r="K14" s="199">
        <v>2150446</v>
      </c>
      <c r="L14" s="200"/>
      <c r="M14" s="199">
        <v>1983106</v>
      </c>
      <c r="N14" s="505"/>
      <c r="O14" s="356">
        <v>1269234</v>
      </c>
      <c r="P14" s="355"/>
      <c r="Q14" s="356">
        <v>1315895</v>
      </c>
      <c r="R14" s="355"/>
      <c r="S14" s="356">
        <v>1390984</v>
      </c>
      <c r="T14" s="355"/>
      <c r="U14" s="356">
        <v>1419297</v>
      </c>
      <c r="V14" s="355"/>
      <c r="W14" s="356">
        <v>1268337</v>
      </c>
      <c r="X14" s="355"/>
      <c r="Y14" s="356">
        <v>1230061</v>
      </c>
      <c r="Z14" s="355"/>
      <c r="AA14" s="356">
        <v>1288354</v>
      </c>
      <c r="AB14" s="355"/>
      <c r="AC14" s="357">
        <v>1424152</v>
      </c>
      <c r="AD14" s="349"/>
      <c r="AE14" s="358"/>
      <c r="AF14" s="359">
        <f t="shared" si="0"/>
        <v>1326040.2</v>
      </c>
      <c r="AG14" s="237">
        <f t="shared" si="1"/>
        <v>3.4207075756518897E-3</v>
      </c>
    </row>
    <row r="15" spans="1:33" ht="18.75" customHeight="1" thickBot="1" x14ac:dyDescent="0.25">
      <c r="A15" s="315" t="s">
        <v>11</v>
      </c>
      <c r="B15" s="206"/>
      <c r="C15" s="207">
        <f>SUM(C12:C14)</f>
        <v>3102939</v>
      </c>
      <c r="D15" s="274"/>
      <c r="E15" s="291">
        <f>SUM(E12:E14)</f>
        <v>4337525</v>
      </c>
      <c r="F15" s="209"/>
      <c r="G15" s="210">
        <f>SUM(G12:G14)</f>
        <v>4511562</v>
      </c>
      <c r="H15" s="211"/>
      <c r="I15" s="212">
        <f>SUM(I12:I14)</f>
        <v>4624964</v>
      </c>
      <c r="J15" s="209"/>
      <c r="K15" s="210">
        <f>SUM(K12:K14)</f>
        <v>4794178</v>
      </c>
      <c r="L15" s="211"/>
      <c r="M15" s="210">
        <f>SUM(M12:M14)</f>
        <v>4738026</v>
      </c>
      <c r="N15" s="506"/>
      <c r="O15" s="361">
        <f>SUM(O12:O14)</f>
        <v>4009062</v>
      </c>
      <c r="P15" s="360"/>
      <c r="Q15" s="361">
        <f>SUM(Q12:Q14)</f>
        <v>4090112</v>
      </c>
      <c r="R15" s="360"/>
      <c r="S15" s="361">
        <f>SUM(S12:S14)</f>
        <v>4279877</v>
      </c>
      <c r="T15" s="360"/>
      <c r="U15" s="361">
        <f>SUM(U12:U14)</f>
        <v>4408999</v>
      </c>
      <c r="V15" s="360"/>
      <c r="W15" s="361">
        <f>SUM(W12:W14)</f>
        <v>4274517</v>
      </c>
      <c r="X15" s="360"/>
      <c r="Y15" s="361">
        <f>SUM(Y12:Y14)</f>
        <v>4735539</v>
      </c>
      <c r="Z15" s="360"/>
      <c r="AA15" s="361">
        <f>SUM(AA12:AA14)</f>
        <v>4590134</v>
      </c>
      <c r="AB15" s="360"/>
      <c r="AC15" s="362">
        <f>SUM(AC12:AC14)</f>
        <v>4658118</v>
      </c>
      <c r="AD15" s="349"/>
      <c r="AE15" s="363"/>
      <c r="AF15" s="364">
        <f t="shared" si="0"/>
        <v>4533461.4000000004</v>
      </c>
      <c r="AG15" s="238">
        <f t="shared" si="1"/>
        <v>5.6502394307642166E-2</v>
      </c>
    </row>
    <row r="16" spans="1:33" ht="12" x14ac:dyDescent="0.2">
      <c r="A16" s="314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3"/>
      <c r="L16" s="39"/>
      <c r="M16" s="73"/>
      <c r="N16" s="504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2" x14ac:dyDescent="0.2">
      <c r="A17" s="18" t="s">
        <v>10</v>
      </c>
      <c r="B17" s="20"/>
      <c r="C17" s="23"/>
      <c r="D17" s="5"/>
      <c r="E17" s="32"/>
      <c r="F17" s="49"/>
      <c r="G17" s="74"/>
      <c r="H17" s="40"/>
      <c r="I17" s="77"/>
      <c r="J17" s="49"/>
      <c r="K17" s="74"/>
      <c r="L17" s="40"/>
      <c r="M17" s="74"/>
      <c r="N17" s="347"/>
      <c r="O17" s="368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2" x14ac:dyDescent="0.2">
      <c r="A18" s="69" t="s">
        <v>30</v>
      </c>
      <c r="B18" s="20"/>
      <c r="C18" s="23"/>
      <c r="D18" s="5"/>
      <c r="E18" s="32"/>
      <c r="F18" s="49"/>
      <c r="G18" s="74"/>
      <c r="H18" s="40"/>
      <c r="I18" s="77"/>
      <c r="J18" s="49"/>
      <c r="K18" s="74"/>
      <c r="L18" s="40"/>
      <c r="M18" s="74"/>
      <c r="N18" s="34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36.75" thickBot="1" x14ac:dyDescent="0.25">
      <c r="A19" s="313" t="s">
        <v>31</v>
      </c>
      <c r="B19" s="196"/>
      <c r="C19" s="197"/>
      <c r="D19" s="138"/>
      <c r="E19" s="288"/>
      <c r="F19" s="198"/>
      <c r="G19" s="199"/>
      <c r="H19" s="200"/>
      <c r="I19" s="201"/>
      <c r="J19" s="198"/>
      <c r="K19" s="199"/>
      <c r="L19" s="200"/>
      <c r="M19" s="199"/>
      <c r="N19" s="50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315" t="s">
        <v>13</v>
      </c>
      <c r="B20" s="206"/>
      <c r="C20" s="207">
        <f>SUM(C17:C19)</f>
        <v>0</v>
      </c>
      <c r="D20" s="274"/>
      <c r="E20" s="291">
        <f>SUM(E17:E19)</f>
        <v>0</v>
      </c>
      <c r="F20" s="209"/>
      <c r="G20" s="210">
        <f>SUM(G17:G19)</f>
        <v>0</v>
      </c>
      <c r="H20" s="211"/>
      <c r="I20" s="212">
        <f>SUM(I17:I19)</f>
        <v>0</v>
      </c>
      <c r="J20" s="209"/>
      <c r="K20" s="210">
        <f>SUM(K17:K19)</f>
        <v>0</v>
      </c>
      <c r="L20" s="211"/>
      <c r="M20" s="210">
        <f>SUM(M17:M19)</f>
        <v>0</v>
      </c>
      <c r="N20" s="506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322" t="s">
        <v>14</v>
      </c>
      <c r="B21" s="316"/>
      <c r="C21" s="218">
        <f>SUM(C15,C20)</f>
        <v>3102939</v>
      </c>
      <c r="D21" s="317"/>
      <c r="E21" s="287">
        <f>SUM(E15,E20)</f>
        <v>4337525</v>
      </c>
      <c r="F21" s="318"/>
      <c r="G21" s="221">
        <f>SUM(G15,G20)</f>
        <v>4511562</v>
      </c>
      <c r="H21" s="319"/>
      <c r="I21" s="223">
        <f>SUM(I15,I20)</f>
        <v>4624964</v>
      </c>
      <c r="J21" s="318"/>
      <c r="K21" s="221">
        <f>SUM(K15,K20)</f>
        <v>4794178</v>
      </c>
      <c r="L21" s="319"/>
      <c r="M21" s="221">
        <f>SUM(M15,M20)</f>
        <v>4738026</v>
      </c>
      <c r="N21" s="507"/>
      <c r="O21" s="371">
        <f>SUM(O15,O20)</f>
        <v>4009062</v>
      </c>
      <c r="P21" s="508"/>
      <c r="Q21" s="371">
        <f>SUM(Q15,Q20)</f>
        <v>4090112</v>
      </c>
      <c r="R21" s="508"/>
      <c r="S21" s="371">
        <f>SUM(S15,S20)</f>
        <v>4279877</v>
      </c>
      <c r="T21" s="508"/>
      <c r="U21" s="371">
        <f>SUM(U15,U20)</f>
        <v>4408999</v>
      </c>
      <c r="V21" s="508"/>
      <c r="W21" s="371">
        <f>SUM(W15,W20)</f>
        <v>4274517</v>
      </c>
      <c r="X21" s="508"/>
      <c r="Y21" s="371">
        <f>SUM(Y15,Y20)</f>
        <v>4735539</v>
      </c>
      <c r="Z21" s="508"/>
      <c r="AA21" s="371">
        <f>SUM(AA15,AA20)</f>
        <v>4590134</v>
      </c>
      <c r="AB21" s="508"/>
      <c r="AC21" s="372">
        <f>SUM(AC15,AC20)</f>
        <v>4658118</v>
      </c>
      <c r="AD21" s="349"/>
      <c r="AE21" s="373"/>
      <c r="AF21" s="374">
        <f t="shared" si="0"/>
        <v>4533461.4000000004</v>
      </c>
      <c r="AG21" s="242">
        <f t="shared" si="1"/>
        <v>5.6502394307642166E-2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49" t="s">
        <v>20</v>
      </c>
      <c r="G22" s="548"/>
      <c r="H22" s="547" t="s">
        <v>22</v>
      </c>
      <c r="I22" s="549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77"/>
      <c r="Y22" s="578"/>
      <c r="Z22" s="577"/>
      <c r="AA22" s="578"/>
      <c r="AB22" s="577"/>
      <c r="AC22" s="580"/>
      <c r="AD22" s="349"/>
      <c r="AE22" s="527"/>
      <c r="AF22" s="528"/>
      <c r="AG22" s="243"/>
    </row>
    <row r="23" spans="1:33" ht="12" x14ac:dyDescent="0.2">
      <c r="A23" s="262" t="s">
        <v>41</v>
      </c>
      <c r="B23" s="24"/>
      <c r="C23" s="25">
        <f>336220+1904870</f>
        <v>2241090</v>
      </c>
      <c r="D23" s="42"/>
      <c r="E23" s="65">
        <v>2375562</v>
      </c>
      <c r="F23" s="53"/>
      <c r="G23" s="99">
        <v>2555733</v>
      </c>
      <c r="H23" s="42"/>
      <c r="I23" s="65">
        <v>2683059.4</v>
      </c>
      <c r="J23" s="56"/>
      <c r="K23" s="224">
        <f>2504959+279417</f>
        <v>2784376</v>
      </c>
      <c r="L23" s="45"/>
      <c r="M23" s="224">
        <v>2783043</v>
      </c>
      <c r="N23" s="504"/>
      <c r="O23" s="375">
        <v>2815578</v>
      </c>
      <c r="P23" s="345"/>
      <c r="Q23" s="375">
        <v>2844024</v>
      </c>
      <c r="R23" s="345"/>
      <c r="S23" s="375">
        <v>3082820</v>
      </c>
      <c r="T23" s="345"/>
      <c r="U23" s="375">
        <v>2315103</v>
      </c>
      <c r="V23" s="345"/>
      <c r="W23" s="375">
        <v>2493599.83</v>
      </c>
      <c r="X23" s="493"/>
      <c r="Y23" s="464">
        <v>2818480</v>
      </c>
      <c r="Z23" s="404"/>
      <c r="AA23" s="464">
        <v>2540543</v>
      </c>
      <c r="AB23" s="404"/>
      <c r="AC23" s="482"/>
      <c r="AD23" s="349"/>
      <c r="AE23" s="350"/>
      <c r="AF23" s="351">
        <f>AVERAGE(U23,AA23,S23,W23,Y23)</f>
        <v>2650109.1660000002</v>
      </c>
      <c r="AG23" s="237">
        <f>+(AA23-S23)/S23</f>
        <v>-0.17590290707858389</v>
      </c>
    </row>
    <row r="24" spans="1:33" ht="12" x14ac:dyDescent="0.2">
      <c r="A24" s="262" t="s">
        <v>39</v>
      </c>
      <c r="B24" s="27"/>
      <c r="C24" s="35"/>
      <c r="D24" s="128"/>
      <c r="E24" s="64"/>
      <c r="F24" s="27"/>
      <c r="G24" s="35">
        <v>1790660.2000000007</v>
      </c>
      <c r="H24" s="27"/>
      <c r="I24" s="35">
        <v>1682920.22</v>
      </c>
      <c r="J24" s="27"/>
      <c r="K24" s="35">
        <v>1970437.8599999996</v>
      </c>
      <c r="L24" s="27"/>
      <c r="M24" s="35">
        <v>1796645.4999999993</v>
      </c>
      <c r="N24" s="425"/>
      <c r="O24" s="426">
        <v>1750751.6399999994</v>
      </c>
      <c r="P24" s="425"/>
      <c r="Q24" s="426">
        <v>2111940.1500000013</v>
      </c>
      <c r="R24" s="425"/>
      <c r="S24" s="426">
        <v>3118000.1900000032</v>
      </c>
      <c r="T24" s="425"/>
      <c r="U24" s="426">
        <v>3563404.5599999954</v>
      </c>
      <c r="V24" s="425"/>
      <c r="W24" s="426">
        <v>3670395.689999999</v>
      </c>
      <c r="X24" s="457"/>
      <c r="Y24" s="458">
        <v>4070785</v>
      </c>
      <c r="Z24" s="427"/>
      <c r="AA24" s="458">
        <v>2729155</v>
      </c>
      <c r="AB24" s="427"/>
      <c r="AC24" s="428"/>
      <c r="AD24" s="349"/>
      <c r="AE24" s="350"/>
      <c r="AF24" s="351">
        <f t="shared" ref="AF24:AF25" si="2">AVERAGE(U24,AA24,S24,W24,Y24)</f>
        <v>3430348.0879999995</v>
      </c>
      <c r="AG24" s="237">
        <f t="shared" ref="AG24:AG25" si="3">+(AA24-S24)/S24</f>
        <v>-0.12470980317676081</v>
      </c>
    </row>
    <row r="25" spans="1:33" thickBot="1" x14ac:dyDescent="0.25">
      <c r="A25" s="263" t="s">
        <v>40</v>
      </c>
      <c r="B25" s="30"/>
      <c r="C25" s="139"/>
      <c r="D25" s="30"/>
      <c r="E25" s="139"/>
      <c r="F25" s="30"/>
      <c r="G25" s="139">
        <v>0</v>
      </c>
      <c r="H25" s="30"/>
      <c r="I25" s="139">
        <v>0</v>
      </c>
      <c r="J25" s="30"/>
      <c r="K25" s="139">
        <v>0</v>
      </c>
      <c r="L25" s="30"/>
      <c r="M25" s="139">
        <v>0</v>
      </c>
      <c r="N25" s="431"/>
      <c r="O25" s="432">
        <v>0</v>
      </c>
      <c r="P25" s="431"/>
      <c r="Q25" s="432">
        <v>0</v>
      </c>
      <c r="R25" s="431"/>
      <c r="S25" s="432">
        <v>20063.95</v>
      </c>
      <c r="T25" s="431"/>
      <c r="U25" s="432">
        <v>82198.98</v>
      </c>
      <c r="V25" s="431"/>
      <c r="W25" s="432">
        <v>90632.08</v>
      </c>
      <c r="X25" s="459"/>
      <c r="Y25" s="432">
        <v>10564</v>
      </c>
      <c r="Z25" s="431"/>
      <c r="AA25" s="432">
        <v>0</v>
      </c>
      <c r="AB25" s="433"/>
      <c r="AC25" s="435"/>
      <c r="AD25" s="349"/>
      <c r="AE25" s="386"/>
      <c r="AF25" s="351">
        <f t="shared" si="2"/>
        <v>40691.802000000003</v>
      </c>
      <c r="AG25" s="237">
        <f t="shared" si="3"/>
        <v>-1</v>
      </c>
    </row>
    <row r="26" spans="1:33" ht="18" customHeight="1" thickTop="1" x14ac:dyDescent="0.2">
      <c r="A26" s="161" t="s">
        <v>52</v>
      </c>
      <c r="B26" s="142" t="s">
        <v>18</v>
      </c>
      <c r="C26" s="143" t="s">
        <v>19</v>
      </c>
      <c r="D26" s="144" t="s">
        <v>18</v>
      </c>
      <c r="E26" s="156" t="s">
        <v>19</v>
      </c>
      <c r="F26" s="147" t="s">
        <v>18</v>
      </c>
      <c r="G26" s="145" t="s">
        <v>19</v>
      </c>
      <c r="H26" s="93" t="s">
        <v>18</v>
      </c>
      <c r="I26" s="146" t="s">
        <v>19</v>
      </c>
      <c r="J26" s="184" t="s">
        <v>18</v>
      </c>
      <c r="K26" s="185" t="s">
        <v>19</v>
      </c>
      <c r="L26" s="190" t="s">
        <v>18</v>
      </c>
      <c r="M26" s="185" t="s">
        <v>19</v>
      </c>
      <c r="N26" s="496" t="s">
        <v>18</v>
      </c>
      <c r="O26" s="497" t="s">
        <v>19</v>
      </c>
      <c r="P26" s="485" t="s">
        <v>18</v>
      </c>
      <c r="Q26" s="497" t="s">
        <v>19</v>
      </c>
      <c r="R26" s="485" t="s">
        <v>18</v>
      </c>
      <c r="S26" s="497" t="s">
        <v>19</v>
      </c>
      <c r="T26" s="485" t="s">
        <v>18</v>
      </c>
      <c r="U26" s="497" t="s">
        <v>19</v>
      </c>
      <c r="V26" s="485" t="s">
        <v>18</v>
      </c>
      <c r="W26" s="497" t="s">
        <v>19</v>
      </c>
      <c r="X26" s="487" t="s">
        <v>18</v>
      </c>
      <c r="Y26" s="488" t="s">
        <v>19</v>
      </c>
      <c r="Z26" s="487" t="s">
        <v>18</v>
      </c>
      <c r="AA26" s="488" t="s">
        <v>19</v>
      </c>
      <c r="AB26" s="487" t="s">
        <v>18</v>
      </c>
      <c r="AC26" s="489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1.45" customHeight="1" x14ac:dyDescent="0.2">
      <c r="A27" s="18" t="s">
        <v>44</v>
      </c>
      <c r="B27" s="63">
        <v>31</v>
      </c>
      <c r="C27" s="82">
        <v>7463012</v>
      </c>
      <c r="D27" s="113">
        <v>22</v>
      </c>
      <c r="E27" s="83">
        <v>4149929</v>
      </c>
      <c r="F27" s="87">
        <v>17</v>
      </c>
      <c r="G27" s="91">
        <v>1646598</v>
      </c>
      <c r="H27" s="87">
        <v>27</v>
      </c>
      <c r="I27" s="91">
        <v>3336070</v>
      </c>
      <c r="J27" s="186">
        <v>31</v>
      </c>
      <c r="K27" s="255">
        <v>3786924</v>
      </c>
      <c r="L27" s="258">
        <v>25</v>
      </c>
      <c r="M27" s="255">
        <v>2064358</v>
      </c>
      <c r="N27" s="509">
        <v>24</v>
      </c>
      <c r="O27" s="441">
        <v>8447120</v>
      </c>
      <c r="P27" s="509">
        <v>21</v>
      </c>
      <c r="Q27" s="441">
        <v>3228258</v>
      </c>
      <c r="R27" s="509">
        <v>33</v>
      </c>
      <c r="S27" s="441">
        <v>6452850</v>
      </c>
      <c r="T27" s="509">
        <v>21</v>
      </c>
      <c r="U27" s="441">
        <v>4107171</v>
      </c>
      <c r="V27" s="509">
        <v>28</v>
      </c>
      <c r="W27" s="441">
        <v>2574173</v>
      </c>
      <c r="X27" s="509">
        <v>33</v>
      </c>
      <c r="Y27" s="441">
        <v>3858898</v>
      </c>
      <c r="Z27" s="509">
        <v>51</v>
      </c>
      <c r="AA27" s="441">
        <v>4394437</v>
      </c>
      <c r="AB27" s="396"/>
      <c r="AC27" s="442"/>
      <c r="AD27" s="349"/>
      <c r="AE27" s="283">
        <f>AVERAGE(T27,R27,Z27,X27,V27)</f>
        <v>33.200000000000003</v>
      </c>
      <c r="AF27" s="398">
        <f t="shared" ref="AF27:AF28" si="4">AVERAGE(U27,AA27,S27,W27,Y27)</f>
        <v>4277505.8</v>
      </c>
      <c r="AG27" s="237">
        <f t="shared" ref="AG27:AG28" si="5">+(AA27-S27)/S27</f>
        <v>-0.31899284812137274</v>
      </c>
    </row>
    <row r="28" spans="1:33" thickBot="1" x14ac:dyDescent="0.25">
      <c r="A28" s="61" t="s">
        <v>45</v>
      </c>
      <c r="B28" s="148">
        <v>19</v>
      </c>
      <c r="C28" s="34">
        <v>3729615</v>
      </c>
      <c r="D28" s="149">
        <v>22</v>
      </c>
      <c r="E28" s="162">
        <v>3058538</v>
      </c>
      <c r="F28" s="158">
        <v>16</v>
      </c>
      <c r="G28" s="152">
        <v>1317502</v>
      </c>
      <c r="H28" s="153">
        <v>21</v>
      </c>
      <c r="I28" s="154">
        <v>1428208</v>
      </c>
      <c r="J28" s="188">
        <v>19</v>
      </c>
      <c r="K28" s="189">
        <v>1870154</v>
      </c>
      <c r="L28" s="321">
        <v>9</v>
      </c>
      <c r="M28" s="189">
        <v>961723</v>
      </c>
      <c r="N28" s="510">
        <v>20</v>
      </c>
      <c r="O28" s="399">
        <v>3328123</v>
      </c>
      <c r="P28" s="510">
        <v>16</v>
      </c>
      <c r="Q28" s="399">
        <v>2252037</v>
      </c>
      <c r="R28" s="510">
        <v>16</v>
      </c>
      <c r="S28" s="399">
        <v>2902450</v>
      </c>
      <c r="T28" s="510">
        <v>14</v>
      </c>
      <c r="U28" s="399">
        <v>3782564</v>
      </c>
      <c r="V28" s="510">
        <v>20</v>
      </c>
      <c r="W28" s="399">
        <v>2908196</v>
      </c>
      <c r="X28" s="510">
        <v>13</v>
      </c>
      <c r="Y28" s="399">
        <v>1128108</v>
      </c>
      <c r="Z28" s="510">
        <v>27</v>
      </c>
      <c r="AA28" s="399">
        <v>2933327</v>
      </c>
      <c r="AB28" s="400"/>
      <c r="AC28" s="443"/>
      <c r="AD28" s="349"/>
      <c r="AE28" s="283">
        <f>AVERAGE(T28,R28,Z28,X28,V28)</f>
        <v>18</v>
      </c>
      <c r="AF28" s="402">
        <f t="shared" si="4"/>
        <v>2730929</v>
      </c>
      <c r="AG28" s="237">
        <f t="shared" si="5"/>
        <v>1.0638253888955881E-2</v>
      </c>
    </row>
    <row r="29" spans="1:33" ht="18" customHeight="1" thickTop="1" thickBot="1" x14ac:dyDescent="0.25">
      <c r="A29" s="161" t="s">
        <v>15</v>
      </c>
      <c r="B29" s="545" t="s">
        <v>6</v>
      </c>
      <c r="C29" s="546"/>
      <c r="D29" s="558" t="s">
        <v>7</v>
      </c>
      <c r="E29" s="546"/>
      <c r="F29" s="539" t="s">
        <v>20</v>
      </c>
      <c r="G29" s="540"/>
      <c r="H29" s="543" t="s">
        <v>22</v>
      </c>
      <c r="I29" s="539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7"/>
      <c r="Y29" s="579"/>
      <c r="Z29" s="537"/>
      <c r="AA29" s="579"/>
      <c r="AB29" s="537"/>
      <c r="AC29" s="538"/>
      <c r="AD29" s="349"/>
      <c r="AE29" s="529"/>
      <c r="AF29" s="530"/>
      <c r="AG29" s="246"/>
    </row>
    <row r="30" spans="1:33" ht="12" x14ac:dyDescent="0.2">
      <c r="A30" s="60" t="s">
        <v>16</v>
      </c>
      <c r="B30" s="28"/>
      <c r="C30" s="33">
        <v>50837.34</v>
      </c>
      <c r="D30" s="7"/>
      <c r="E30" s="50">
        <v>53543</v>
      </c>
      <c r="F30" s="56"/>
      <c r="G30" s="103">
        <v>131334.29999999999</v>
      </c>
      <c r="H30" s="110"/>
      <c r="I30" s="105">
        <v>30277.51</v>
      </c>
      <c r="J30" s="56"/>
      <c r="K30" s="103">
        <v>40295</v>
      </c>
      <c r="L30" s="45"/>
      <c r="M30" s="131">
        <v>177875</v>
      </c>
      <c r="N30" s="504"/>
      <c r="O30" s="445">
        <v>26335</v>
      </c>
      <c r="P30" s="345"/>
      <c r="Q30" s="445">
        <v>29195.17</v>
      </c>
      <c r="R30" s="345"/>
      <c r="S30" s="445">
        <v>25451.69</v>
      </c>
      <c r="T30" s="345"/>
      <c r="U30" s="445">
        <v>28871</v>
      </c>
      <c r="V30" s="345"/>
      <c r="W30" s="445">
        <v>44735.4</v>
      </c>
      <c r="X30" s="404"/>
      <c r="Y30" s="447">
        <v>47627.47</v>
      </c>
      <c r="Z30" s="404"/>
      <c r="AA30" s="447">
        <v>77532.5</v>
      </c>
      <c r="AB30" s="404"/>
      <c r="AC30" s="448"/>
      <c r="AD30" s="349"/>
      <c r="AE30" s="350"/>
      <c r="AF30" s="406">
        <f t="shared" ref="AF30:AF31" si="6">AVERAGE(U30,AA30,S30,W30,Y30)</f>
        <v>44843.612000000001</v>
      </c>
      <c r="AG30" s="245">
        <f t="shared" ref="AG30" si="7">+(AA30-S30)/S30</f>
        <v>2.0462613681056152</v>
      </c>
    </row>
    <row r="31" spans="1:33" thickBot="1" x14ac:dyDescent="0.25">
      <c r="A31" s="61" t="s">
        <v>17</v>
      </c>
      <c r="B31" s="30"/>
      <c r="C31" s="34">
        <v>0</v>
      </c>
      <c r="D31" s="8"/>
      <c r="E31" s="58">
        <v>0</v>
      </c>
      <c r="F31" s="57"/>
      <c r="G31" s="58">
        <v>0</v>
      </c>
      <c r="H31" s="57"/>
      <c r="I31" s="58">
        <v>0</v>
      </c>
      <c r="J31" s="57"/>
      <c r="K31" s="75">
        <v>0</v>
      </c>
      <c r="L31" s="46"/>
      <c r="M31" s="75">
        <v>0</v>
      </c>
      <c r="N31" s="511"/>
      <c r="O31" s="476">
        <v>0</v>
      </c>
      <c r="P31" s="449"/>
      <c r="Q31" s="476">
        <v>0</v>
      </c>
      <c r="R31" s="449"/>
      <c r="S31" s="476">
        <v>0</v>
      </c>
      <c r="T31" s="449"/>
      <c r="U31" s="476">
        <v>0</v>
      </c>
      <c r="V31" s="449"/>
      <c r="W31" s="476">
        <v>0</v>
      </c>
      <c r="X31" s="433"/>
      <c r="Y31" s="477">
        <v>0</v>
      </c>
      <c r="Z31" s="433"/>
      <c r="AA31" s="477">
        <v>0</v>
      </c>
      <c r="AB31" s="433"/>
      <c r="AC31" s="478"/>
      <c r="AD31" s="349"/>
      <c r="AE31" s="386"/>
      <c r="AF31" s="411">
        <f t="shared" si="6"/>
        <v>0</v>
      </c>
      <c r="AG31" s="247"/>
    </row>
    <row r="32" spans="1:33" thickTop="1" x14ac:dyDescent="0.2">
      <c r="A32" s="14"/>
      <c r="B32" s="10"/>
      <c r="C32" s="11"/>
      <c r="D32" s="10"/>
      <c r="E32" s="12"/>
      <c r="F32" s="44"/>
      <c r="G32" s="43"/>
      <c r="H32" s="44"/>
      <c r="I32" s="43"/>
      <c r="J32" s="44"/>
      <c r="K32" s="43"/>
      <c r="L32" s="44"/>
      <c r="M32" s="43"/>
      <c r="N32" s="444"/>
      <c r="O32" s="512"/>
      <c r="P32" s="444"/>
      <c r="Q32" s="512"/>
      <c r="R32" s="444"/>
      <c r="S32" s="512"/>
      <c r="T32" s="444"/>
      <c r="U32" s="512"/>
      <c r="V32" s="444"/>
      <c r="W32" s="512"/>
      <c r="X32" s="444"/>
      <c r="Y32" s="512"/>
      <c r="Z32" s="444"/>
      <c r="AA32" s="512"/>
      <c r="AB32" s="444"/>
      <c r="AC32" s="512"/>
      <c r="AD32" s="349"/>
      <c r="AE32" s="349"/>
      <c r="AF32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J9:K9"/>
    <mergeCell ref="H9:I9"/>
    <mergeCell ref="B9:C9"/>
    <mergeCell ref="D9:E9"/>
    <mergeCell ref="F9:G9"/>
    <mergeCell ref="X9:Y9"/>
    <mergeCell ref="AE9:AF9"/>
    <mergeCell ref="Z9:AA9"/>
    <mergeCell ref="L9:M9"/>
    <mergeCell ref="P9:Q9"/>
    <mergeCell ref="N9:O9"/>
    <mergeCell ref="V9:W9"/>
    <mergeCell ref="R9:S9"/>
    <mergeCell ref="T9:U9"/>
    <mergeCell ref="AB9:AC9"/>
  </mergeCells>
  <phoneticPr fontId="0" type="noConversion"/>
  <printOptions horizontalCentered="1" verticalCentered="1"/>
  <pageMargins left="0.5" right="0.5" top="0.5" bottom="0.81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34"/>
  <sheetViews>
    <sheetView zoomScaleNormal="100" zoomScaleSheetLayoutView="110" workbookViewId="0">
      <pane xSplit="1" ySplit="3" topLeftCell="L19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3.28515625" style="1" customWidth="1"/>
    <col min="2" max="2" width="7.7109375" hidden="1" customWidth="1"/>
    <col min="3" max="3" width="10.7109375" hidden="1" customWidth="1"/>
    <col min="4" max="4" width="7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customWidth="1"/>
    <col min="11" max="11" width="10.7109375" style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1406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251" t="s">
        <v>48</v>
      </c>
      <c r="B1" s="125"/>
      <c r="C1" s="125"/>
      <c r="D1" s="125"/>
      <c r="E1" s="125"/>
      <c r="F1" s="126"/>
      <c r="G1" s="126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5.75" x14ac:dyDescent="0.25">
      <c r="A2" s="251" t="s">
        <v>49</v>
      </c>
      <c r="B2" s="1"/>
      <c r="C2" s="1"/>
      <c r="D2" s="1"/>
      <c r="E2" s="1"/>
      <c r="F2" s="37"/>
      <c r="G2" s="37"/>
      <c r="H2" s="37"/>
      <c r="I2" s="37"/>
    </row>
    <row r="3" spans="1:33" s="3" customFormat="1" x14ac:dyDescent="0.2">
      <c r="A3" s="16"/>
      <c r="F3" s="13"/>
      <c r="G3" s="13"/>
      <c r="H3" s="13"/>
      <c r="I3" s="13"/>
      <c r="AG3" s="1"/>
    </row>
    <row r="4" spans="1:33" s="3" customFormat="1" ht="15.75" x14ac:dyDescent="0.25">
      <c r="A4" s="252" t="s">
        <v>50</v>
      </c>
      <c r="F4" s="13"/>
      <c r="G4" s="13"/>
      <c r="H4" s="13"/>
      <c r="I4" s="13"/>
      <c r="AG4" s="1"/>
    </row>
    <row r="5" spans="1:33" s="3" customFormat="1" ht="12" x14ac:dyDescent="0.2">
      <c r="F5" s="13"/>
      <c r="G5" s="13"/>
      <c r="H5" s="13"/>
      <c r="I5" s="13"/>
      <c r="AG5" s="1"/>
    </row>
    <row r="6" spans="1:33" ht="25.5" x14ac:dyDescent="0.2">
      <c r="A6" s="332" t="s">
        <v>3</v>
      </c>
      <c r="B6" s="14"/>
      <c r="C6" s="159"/>
      <c r="D6" s="14"/>
      <c r="E6" s="159"/>
      <c r="F6" s="79"/>
      <c r="G6" s="80"/>
      <c r="H6" s="79"/>
      <c r="I6" s="80"/>
      <c r="J6" s="79"/>
      <c r="K6" s="80"/>
      <c r="L6" s="79"/>
      <c r="M6" s="80"/>
      <c r="N6" s="79"/>
      <c r="O6" s="80"/>
      <c r="P6" s="79"/>
      <c r="Q6" s="80"/>
      <c r="R6" s="79"/>
      <c r="S6" s="80"/>
      <c r="T6" s="79"/>
      <c r="U6" s="80"/>
      <c r="V6" s="79"/>
      <c r="W6" s="80"/>
      <c r="X6" s="79"/>
      <c r="Y6" s="80"/>
      <c r="Z6" s="79"/>
      <c r="AA6" s="80"/>
      <c r="AB6" s="79"/>
      <c r="AC6" s="80"/>
    </row>
    <row r="7" spans="1:33" x14ac:dyDescent="0.2">
      <c r="A7" s="333">
        <v>3670045070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46"/>
      <c r="F9" s="539" t="s">
        <v>20</v>
      </c>
      <c r="G9" s="540"/>
      <c r="H9" s="543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229"/>
      <c r="F10" s="232"/>
      <c r="G10" s="231"/>
      <c r="H10" s="232"/>
      <c r="I10" s="232"/>
      <c r="J10" s="279"/>
      <c r="K10" s="280"/>
      <c r="L10" s="279"/>
      <c r="M10" s="281"/>
      <c r="N10" s="280"/>
      <c r="O10" s="281"/>
      <c r="P10" s="280"/>
      <c r="Q10" s="281"/>
      <c r="R10" s="280"/>
      <c r="S10" s="281"/>
      <c r="T10" s="280"/>
      <c r="U10" s="281"/>
      <c r="V10" s="280"/>
      <c r="W10" s="281"/>
      <c r="X10" s="280"/>
      <c r="Y10" s="281"/>
      <c r="Z10" s="280"/>
      <c r="AA10" s="281"/>
      <c r="AB10" s="280"/>
      <c r="AC10" s="282"/>
      <c r="AE10" s="248"/>
      <c r="AF10" s="249"/>
      <c r="AG10" s="235"/>
    </row>
    <row r="11" spans="1:33" ht="12" x14ac:dyDescent="0.2">
      <c r="A11" s="68" t="s">
        <v>9</v>
      </c>
      <c r="B11" s="20"/>
      <c r="C11" s="21"/>
      <c r="D11" s="5"/>
      <c r="E11" s="21"/>
      <c r="F11" s="40"/>
      <c r="G11" s="47"/>
      <c r="H11" s="39"/>
      <c r="I11" s="39"/>
      <c r="J11" s="48"/>
      <c r="K11" s="39"/>
      <c r="L11" s="48"/>
      <c r="M11" s="72"/>
      <c r="N11" s="345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2" x14ac:dyDescent="0.2">
      <c r="A12" s="69" t="s">
        <v>10</v>
      </c>
      <c r="B12" s="19"/>
      <c r="C12" s="22">
        <v>2453586</v>
      </c>
      <c r="D12" s="4"/>
      <c r="E12" s="22">
        <v>2617457</v>
      </c>
      <c r="F12" s="39"/>
      <c r="G12" s="73">
        <v>2665265</v>
      </c>
      <c r="H12" s="39"/>
      <c r="I12" s="76">
        <v>2762772</v>
      </c>
      <c r="J12" s="48"/>
      <c r="K12" s="76">
        <v>2854757</v>
      </c>
      <c r="L12" s="48"/>
      <c r="M12" s="73">
        <v>2980473</v>
      </c>
      <c r="N12" s="345"/>
      <c r="O12" s="352">
        <v>2968115</v>
      </c>
      <c r="P12" s="345"/>
      <c r="Q12" s="352">
        <v>3027478</v>
      </c>
      <c r="R12" s="345"/>
      <c r="S12" s="352">
        <v>3029031</v>
      </c>
      <c r="T12" s="345"/>
      <c r="U12" s="352">
        <v>2945463</v>
      </c>
      <c r="V12" s="345"/>
      <c r="W12" s="352">
        <v>3067513</v>
      </c>
      <c r="X12" s="345"/>
      <c r="Y12" s="352">
        <v>3238063</v>
      </c>
      <c r="Z12" s="345"/>
      <c r="AA12" s="352">
        <v>3284004</v>
      </c>
      <c r="AB12" s="345"/>
      <c r="AC12" s="353">
        <v>3199380</v>
      </c>
      <c r="AD12" s="349"/>
      <c r="AE12" s="350"/>
      <c r="AF12" s="351">
        <f>AVERAGE(W12,U12,Y12,AC12,AA12)</f>
        <v>3146884.6</v>
      </c>
      <c r="AG12" s="237">
        <f>+(AC12-U12)/U12</f>
        <v>8.6206141445334741E-2</v>
      </c>
    </row>
    <row r="13" spans="1:33" ht="12" x14ac:dyDescent="0.2">
      <c r="A13" s="69" t="s">
        <v>30</v>
      </c>
      <c r="B13" s="19"/>
      <c r="C13" s="22"/>
      <c r="D13" s="4"/>
      <c r="E13" s="22"/>
      <c r="F13" s="39"/>
      <c r="G13" s="73"/>
      <c r="H13" s="39"/>
      <c r="I13" s="76"/>
      <c r="J13" s="48"/>
      <c r="K13" s="76"/>
      <c r="L13" s="48"/>
      <c r="M13" s="73"/>
      <c r="N13" s="345"/>
      <c r="O13" s="352"/>
      <c r="P13" s="345"/>
      <c r="Q13" s="352"/>
      <c r="R13" s="345"/>
      <c r="S13" s="352"/>
      <c r="T13" s="345"/>
      <c r="U13" s="352"/>
      <c r="V13" s="345"/>
      <c r="W13" s="352"/>
      <c r="X13" s="345"/>
      <c r="Y13" s="352"/>
      <c r="Z13" s="345"/>
      <c r="AA13" s="352"/>
      <c r="AB13" s="345"/>
      <c r="AC13" s="353"/>
      <c r="AD13" s="349"/>
      <c r="AE13" s="354"/>
      <c r="AF13" s="351"/>
      <c r="AG13" s="236"/>
    </row>
    <row r="14" spans="1:33" ht="25.5" customHeight="1" thickBot="1" x14ac:dyDescent="0.25">
      <c r="A14" s="195" t="s">
        <v>31</v>
      </c>
      <c r="B14" s="196"/>
      <c r="C14" s="197">
        <v>341646</v>
      </c>
      <c r="D14" s="138"/>
      <c r="E14" s="197">
        <v>498316</v>
      </c>
      <c r="F14" s="200"/>
      <c r="G14" s="199">
        <v>485914</v>
      </c>
      <c r="H14" s="200"/>
      <c r="I14" s="201">
        <v>595153</v>
      </c>
      <c r="J14" s="198"/>
      <c r="K14" s="201">
        <v>618718</v>
      </c>
      <c r="L14" s="198"/>
      <c r="M14" s="199">
        <v>608833</v>
      </c>
      <c r="N14" s="355"/>
      <c r="O14" s="356">
        <v>243333</v>
      </c>
      <c r="P14" s="355"/>
      <c r="Q14" s="356">
        <v>332176</v>
      </c>
      <c r="R14" s="355"/>
      <c r="S14" s="356">
        <v>402466</v>
      </c>
      <c r="T14" s="355"/>
      <c r="U14" s="356">
        <v>475470</v>
      </c>
      <c r="V14" s="355"/>
      <c r="W14" s="356">
        <v>358138</v>
      </c>
      <c r="X14" s="355"/>
      <c r="Y14" s="356">
        <v>615966</v>
      </c>
      <c r="Z14" s="355"/>
      <c r="AA14" s="356">
        <v>458753</v>
      </c>
      <c r="AB14" s="355"/>
      <c r="AC14" s="357">
        <v>460891</v>
      </c>
      <c r="AD14" s="349"/>
      <c r="AE14" s="358"/>
      <c r="AF14" s="359">
        <f t="shared" ref="AF14:AF21" si="0">AVERAGE(W14,U14,Y14,AC14,AA14)</f>
        <v>473843.6</v>
      </c>
      <c r="AG14" s="237">
        <f t="shared" ref="AG14:AG21" si="1">+(AC14-U14)/U14</f>
        <v>-3.0662292047868425E-2</v>
      </c>
    </row>
    <row r="15" spans="1:33" ht="18.75" customHeight="1" thickBot="1" x14ac:dyDescent="0.25">
      <c r="A15" s="205" t="s">
        <v>11</v>
      </c>
      <c r="B15" s="206"/>
      <c r="C15" s="207">
        <f>SUM(C12:C14)</f>
        <v>2795232</v>
      </c>
      <c r="D15" s="274"/>
      <c r="E15" s="207">
        <f>SUM(E12:E14)</f>
        <v>3115773</v>
      </c>
      <c r="F15" s="211"/>
      <c r="G15" s="210">
        <f>SUM(G12:G14)</f>
        <v>3151179</v>
      </c>
      <c r="H15" s="211"/>
      <c r="I15" s="212">
        <f>SUM(I12:I14)</f>
        <v>3357925</v>
      </c>
      <c r="J15" s="209"/>
      <c r="K15" s="212">
        <f>SUM(K12:K14)</f>
        <v>3473475</v>
      </c>
      <c r="L15" s="209"/>
      <c r="M15" s="210">
        <f>SUM(M12:M14)</f>
        <v>3589306</v>
      </c>
      <c r="N15" s="360"/>
      <c r="O15" s="361">
        <f>SUM(O12:O14)</f>
        <v>3211448</v>
      </c>
      <c r="P15" s="360"/>
      <c r="Q15" s="361">
        <f>SUM(Q12:Q14)</f>
        <v>3359654</v>
      </c>
      <c r="R15" s="360"/>
      <c r="S15" s="361">
        <f>SUM(S12:S14)</f>
        <v>3431497</v>
      </c>
      <c r="T15" s="360"/>
      <c r="U15" s="361">
        <f>SUM(U12:U14)</f>
        <v>3420933</v>
      </c>
      <c r="V15" s="360"/>
      <c r="W15" s="361">
        <f>SUM(W12:W14)</f>
        <v>3425651</v>
      </c>
      <c r="X15" s="360"/>
      <c r="Y15" s="361">
        <f>SUM(Y12:Y14)</f>
        <v>3854029</v>
      </c>
      <c r="Z15" s="360"/>
      <c r="AA15" s="361">
        <f>SUM(AA12:AA14)</f>
        <v>3742757</v>
      </c>
      <c r="AB15" s="360"/>
      <c r="AC15" s="362">
        <f>SUM(AC12:AC14)</f>
        <v>3660271</v>
      </c>
      <c r="AD15" s="349"/>
      <c r="AE15" s="363"/>
      <c r="AF15" s="364">
        <f t="shared" si="0"/>
        <v>3620728.2</v>
      </c>
      <c r="AG15" s="238">
        <f t="shared" si="1"/>
        <v>6.9962785006312603E-2</v>
      </c>
    </row>
    <row r="16" spans="1:33" ht="12" x14ac:dyDescent="0.2">
      <c r="A16" s="203" t="s">
        <v>12</v>
      </c>
      <c r="B16" s="19"/>
      <c r="C16" s="22"/>
      <c r="D16" s="4"/>
      <c r="E16" s="22"/>
      <c r="F16" s="39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2" x14ac:dyDescent="0.2">
      <c r="A17" s="69" t="s">
        <v>10</v>
      </c>
      <c r="B17" s="20"/>
      <c r="C17" s="23"/>
      <c r="D17" s="5"/>
      <c r="E17" s="23"/>
      <c r="F17" s="40"/>
      <c r="G17" s="74"/>
      <c r="H17" s="40"/>
      <c r="I17" s="77"/>
      <c r="J17" s="49"/>
      <c r="K17" s="77"/>
      <c r="L17" s="49"/>
      <c r="M17" s="74"/>
      <c r="N17" s="367"/>
      <c r="O17" s="368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2" x14ac:dyDescent="0.2">
      <c r="A18" s="69" t="s">
        <v>30</v>
      </c>
      <c r="B18" s="20"/>
      <c r="C18" s="23"/>
      <c r="D18" s="5"/>
      <c r="E18" s="23"/>
      <c r="F18" s="40"/>
      <c r="G18" s="74"/>
      <c r="H18" s="40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5.5" customHeight="1" thickBot="1" x14ac:dyDescent="0.25">
      <c r="A19" s="195" t="s">
        <v>31</v>
      </c>
      <c r="B19" s="196"/>
      <c r="C19" s="197">
        <v>142000</v>
      </c>
      <c r="D19" s="138"/>
      <c r="E19" s="197"/>
      <c r="F19" s="200"/>
      <c r="G19" s="199"/>
      <c r="H19" s="200"/>
      <c r="I19" s="201"/>
      <c r="J19" s="198"/>
      <c r="K19" s="201"/>
      <c r="L19" s="198"/>
      <c r="M19" s="199"/>
      <c r="N19" s="35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142000</v>
      </c>
      <c r="D20" s="274"/>
      <c r="E20" s="207">
        <f>SUM(E17:E19)</f>
        <v>0</v>
      </c>
      <c r="F20" s="211"/>
      <c r="G20" s="210">
        <f>SUM(G17:G19)</f>
        <v>0</v>
      </c>
      <c r="H20" s="211"/>
      <c r="I20" s="212">
        <f>SUM(I17:I19)</f>
        <v>0</v>
      </c>
      <c r="J20" s="209"/>
      <c r="K20" s="212">
        <f>SUM(K17:K19)</f>
        <v>0</v>
      </c>
      <c r="L20" s="209"/>
      <c r="M20" s="210">
        <f>SUM(M17:M19)</f>
        <v>0</v>
      </c>
      <c r="N20" s="360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289" t="s">
        <v>14</v>
      </c>
      <c r="B21" s="267"/>
      <c r="C21" s="268">
        <f>SUM(C15,C20)</f>
        <v>2937232</v>
      </c>
      <c r="D21" s="269"/>
      <c r="E21" s="268">
        <f>SUM(E15,E20)</f>
        <v>3115773</v>
      </c>
      <c r="F21" s="270"/>
      <c r="G21" s="271">
        <f>SUM(G15,G20)</f>
        <v>3151179</v>
      </c>
      <c r="H21" s="270"/>
      <c r="I21" s="272">
        <f>SUM(I15,I20)</f>
        <v>3357925</v>
      </c>
      <c r="J21" s="273"/>
      <c r="K21" s="272">
        <f>SUM(K15,K20)</f>
        <v>3473475</v>
      </c>
      <c r="L21" s="273"/>
      <c r="M21" s="271">
        <f>SUM(M15,M20)</f>
        <v>3589306</v>
      </c>
      <c r="N21" s="420"/>
      <c r="O21" s="421">
        <f>SUM(O15,O20)</f>
        <v>3211448</v>
      </c>
      <c r="P21" s="420"/>
      <c r="Q21" s="421">
        <f>SUM(Q15,Q20)</f>
        <v>3359654</v>
      </c>
      <c r="R21" s="420"/>
      <c r="S21" s="421">
        <f>SUM(S15,S20)</f>
        <v>3431497</v>
      </c>
      <c r="T21" s="420"/>
      <c r="U21" s="421">
        <f>SUM(U15,U20)</f>
        <v>3420933</v>
      </c>
      <c r="V21" s="420"/>
      <c r="W21" s="421">
        <f>SUM(W15,W20)</f>
        <v>3425651</v>
      </c>
      <c r="X21" s="420"/>
      <c r="Y21" s="421">
        <f>SUM(Y15,Y20)</f>
        <v>3854029</v>
      </c>
      <c r="Z21" s="420"/>
      <c r="AA21" s="421">
        <f>SUM(AA15,AA20)</f>
        <v>3742757</v>
      </c>
      <c r="AB21" s="420"/>
      <c r="AC21" s="422">
        <f>SUM(AC15,AC20)</f>
        <v>3660271</v>
      </c>
      <c r="AD21" s="349"/>
      <c r="AE21" s="373"/>
      <c r="AF21" s="374">
        <f t="shared" si="0"/>
        <v>3620728.2</v>
      </c>
      <c r="AG21" s="242">
        <f t="shared" si="1"/>
        <v>6.9962785006312603E-2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50"/>
      <c r="G22" s="551"/>
      <c r="H22" s="550"/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1"/>
      <c r="AC22" s="536"/>
      <c r="AD22" s="349"/>
      <c r="AE22" s="527"/>
      <c r="AF22" s="528"/>
      <c r="AG22" s="243"/>
    </row>
    <row r="23" spans="1:33" ht="12" x14ac:dyDescent="0.2">
      <c r="A23" s="262" t="s">
        <v>41</v>
      </c>
      <c r="B23" s="24"/>
      <c r="C23" s="25">
        <f>808940+1435254</f>
        <v>2244194</v>
      </c>
      <c r="D23" s="6"/>
      <c r="E23" s="99">
        <f>2427886+6097</f>
        <v>2433983</v>
      </c>
      <c r="F23" s="45"/>
      <c r="G23" s="100">
        <v>2570497.2799999998</v>
      </c>
      <c r="H23" s="45"/>
      <c r="I23" s="98">
        <v>2788480.68</v>
      </c>
      <c r="J23" s="56"/>
      <c r="K23" s="302">
        <f>2708776+3749+100198</f>
        <v>2812723</v>
      </c>
      <c r="L23" s="56"/>
      <c r="M23" s="224">
        <v>2932094</v>
      </c>
      <c r="N23" s="345"/>
      <c r="O23" s="463">
        <v>2991273</v>
      </c>
      <c r="P23" s="492"/>
      <c r="Q23" s="463">
        <v>2836596</v>
      </c>
      <c r="R23" s="492"/>
      <c r="S23" s="463">
        <v>3122061</v>
      </c>
      <c r="T23" s="492"/>
      <c r="U23" s="463">
        <v>2593106</v>
      </c>
      <c r="V23" s="492"/>
      <c r="W23" s="463">
        <v>2490128.67</v>
      </c>
      <c r="X23" s="493"/>
      <c r="Y23" s="464">
        <v>2823145</v>
      </c>
      <c r="Z23" s="493"/>
      <c r="AA23" s="464">
        <v>2542360</v>
      </c>
      <c r="AB23" s="404"/>
      <c r="AC23" s="482"/>
      <c r="AD23" s="349"/>
      <c r="AE23" s="350"/>
      <c r="AF23" s="351">
        <f>AVERAGE(U23,AA23,S23,W23,Y23)</f>
        <v>2714160.1340000001</v>
      </c>
      <c r="AG23" s="237">
        <f>+(AA23-S23)/S23</f>
        <v>-0.18567894733639093</v>
      </c>
    </row>
    <row r="24" spans="1:33" ht="12" x14ac:dyDescent="0.2">
      <c r="A24" s="262" t="s">
        <v>39</v>
      </c>
      <c r="B24" s="27"/>
      <c r="C24" s="35"/>
      <c r="D24" s="9"/>
      <c r="E24" s="108"/>
      <c r="F24" s="27"/>
      <c r="G24" s="183">
        <v>945130.45000000054</v>
      </c>
      <c r="H24" s="27"/>
      <c r="I24" s="35">
        <v>706113.96000000008</v>
      </c>
      <c r="J24" s="27"/>
      <c r="K24" s="35">
        <v>787388.74</v>
      </c>
      <c r="L24" s="27"/>
      <c r="M24" s="35">
        <v>774913.25</v>
      </c>
      <c r="N24" s="425"/>
      <c r="O24" s="426">
        <v>824868.1800000011</v>
      </c>
      <c r="P24" s="456"/>
      <c r="Q24" s="426">
        <v>1162036.570000001</v>
      </c>
      <c r="R24" s="456"/>
      <c r="S24" s="426">
        <v>1465784.5500000012</v>
      </c>
      <c r="T24" s="456"/>
      <c r="U24" s="426">
        <v>1968219.1299999997</v>
      </c>
      <c r="V24" s="456"/>
      <c r="W24" s="426">
        <v>1931818.1300000018</v>
      </c>
      <c r="X24" s="457"/>
      <c r="Y24" s="458">
        <v>2203731</v>
      </c>
      <c r="Z24" s="457"/>
      <c r="AA24" s="458">
        <v>2036045</v>
      </c>
      <c r="AB24" s="427"/>
      <c r="AC24" s="428"/>
      <c r="AD24" s="349"/>
      <c r="AE24" s="350"/>
      <c r="AF24" s="351">
        <f t="shared" ref="AF24:AF25" si="2">AVERAGE(U24,AA24,S24,W24,Y24)</f>
        <v>1921119.5620000004</v>
      </c>
      <c r="AG24" s="237">
        <f t="shared" ref="AG24" si="3">+(AA24-S24)/S24</f>
        <v>0.3890479334087662</v>
      </c>
    </row>
    <row r="25" spans="1:33" thickBot="1" x14ac:dyDescent="0.25">
      <c r="A25" s="263" t="s">
        <v>40</v>
      </c>
      <c r="B25" s="30"/>
      <c r="C25" s="139"/>
      <c r="D25" s="8"/>
      <c r="E25" s="141"/>
      <c r="F25" s="30"/>
      <c r="G25" s="139">
        <v>0</v>
      </c>
      <c r="H25" s="30"/>
      <c r="I25" s="139">
        <v>0</v>
      </c>
      <c r="J25" s="30"/>
      <c r="K25" s="139">
        <v>0</v>
      </c>
      <c r="L25" s="30"/>
      <c r="M25" s="139">
        <v>0</v>
      </c>
      <c r="N25" s="431"/>
      <c r="O25" s="432">
        <v>0</v>
      </c>
      <c r="P25" s="459"/>
      <c r="Q25" s="432">
        <v>0</v>
      </c>
      <c r="R25" s="459"/>
      <c r="S25" s="432">
        <v>0</v>
      </c>
      <c r="T25" s="459"/>
      <c r="U25" s="432">
        <v>0</v>
      </c>
      <c r="V25" s="459"/>
      <c r="W25" s="432">
        <v>0</v>
      </c>
      <c r="X25" s="460"/>
      <c r="Y25" s="461">
        <v>0</v>
      </c>
      <c r="Z25" s="460"/>
      <c r="AA25" s="461">
        <v>0</v>
      </c>
      <c r="AB25" s="433"/>
      <c r="AC25" s="435"/>
      <c r="AD25" s="349"/>
      <c r="AE25" s="386"/>
      <c r="AF25" s="351">
        <f t="shared" si="2"/>
        <v>0</v>
      </c>
      <c r="AG25" s="237"/>
    </row>
    <row r="26" spans="1:33" ht="18" customHeight="1" thickTop="1" x14ac:dyDescent="0.2">
      <c r="A26" s="119" t="s">
        <v>52</v>
      </c>
      <c r="B26" s="142" t="s">
        <v>18</v>
      </c>
      <c r="C26" s="143" t="s">
        <v>19</v>
      </c>
      <c r="D26" s="144" t="s">
        <v>18</v>
      </c>
      <c r="E26" s="143" t="s">
        <v>19</v>
      </c>
      <c r="F26" s="194" t="s">
        <v>18</v>
      </c>
      <c r="G26" s="299" t="s">
        <v>19</v>
      </c>
      <c r="H26" s="194" t="s">
        <v>18</v>
      </c>
      <c r="I26" s="299" t="s">
        <v>19</v>
      </c>
      <c r="J26" s="194" t="s">
        <v>18</v>
      </c>
      <c r="K26" s="299" t="s">
        <v>19</v>
      </c>
      <c r="L26" s="192" t="s">
        <v>18</v>
      </c>
      <c r="M26" s="193" t="s">
        <v>19</v>
      </c>
      <c r="N26" s="513" t="s">
        <v>18</v>
      </c>
      <c r="O26" s="388" t="s">
        <v>19</v>
      </c>
      <c r="P26" s="387" t="s">
        <v>18</v>
      </c>
      <c r="Q26" s="388" t="s">
        <v>19</v>
      </c>
      <c r="R26" s="387" t="s">
        <v>18</v>
      </c>
      <c r="S26" s="388" t="s">
        <v>19</v>
      </c>
      <c r="T26" s="387" t="s">
        <v>18</v>
      </c>
      <c r="U26" s="388" t="s">
        <v>19</v>
      </c>
      <c r="V26" s="387" t="s">
        <v>18</v>
      </c>
      <c r="W26" s="388" t="s">
        <v>19</v>
      </c>
      <c r="X26" s="389" t="s">
        <v>18</v>
      </c>
      <c r="Y26" s="439" t="s">
        <v>19</v>
      </c>
      <c r="Z26" s="389" t="s">
        <v>18</v>
      </c>
      <c r="AA26" s="439" t="s">
        <v>19</v>
      </c>
      <c r="AB26" s="389" t="s">
        <v>18</v>
      </c>
      <c r="AC26" s="390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1.45" customHeight="1" x14ac:dyDescent="0.2">
      <c r="A27" s="69" t="s">
        <v>44</v>
      </c>
      <c r="B27" s="63">
        <v>37</v>
      </c>
      <c r="C27" s="82">
        <v>2418029</v>
      </c>
      <c r="D27" s="113">
        <v>25</v>
      </c>
      <c r="E27" s="95">
        <v>1825650</v>
      </c>
      <c r="F27" s="258">
        <v>22</v>
      </c>
      <c r="G27" s="259">
        <v>2102086</v>
      </c>
      <c r="H27" s="258">
        <v>28</v>
      </c>
      <c r="I27" s="259">
        <v>2291067</v>
      </c>
      <c r="J27" s="258">
        <v>33</v>
      </c>
      <c r="K27" s="259">
        <v>3487423</v>
      </c>
      <c r="L27" s="323">
        <v>31</v>
      </c>
      <c r="M27" s="255">
        <v>2104980</v>
      </c>
      <c r="N27" s="394">
        <v>32</v>
      </c>
      <c r="O27" s="441">
        <v>3810373</v>
      </c>
      <c r="P27" s="394">
        <v>23</v>
      </c>
      <c r="Q27" s="441">
        <v>2235121</v>
      </c>
      <c r="R27" s="394">
        <v>28</v>
      </c>
      <c r="S27" s="441">
        <v>2465145</v>
      </c>
      <c r="T27" s="394">
        <v>24</v>
      </c>
      <c r="U27" s="441">
        <v>1632086</v>
      </c>
      <c r="V27" s="394">
        <v>28</v>
      </c>
      <c r="W27" s="441">
        <v>3532754</v>
      </c>
      <c r="X27" s="394">
        <v>26</v>
      </c>
      <c r="Y27" s="441">
        <v>2239794</v>
      </c>
      <c r="Z27" s="394">
        <v>47</v>
      </c>
      <c r="AA27" s="441">
        <v>4532936</v>
      </c>
      <c r="AB27" s="396"/>
      <c r="AC27" s="490"/>
      <c r="AD27" s="349"/>
      <c r="AE27" s="283">
        <f>AVERAGE(T27,R27,Z27,X27,V27)</f>
        <v>30.6</v>
      </c>
      <c r="AF27" s="398">
        <f t="shared" ref="AF27:AF28" si="4">AVERAGE(U27,AA27,S27,W27,Y27)</f>
        <v>2880543</v>
      </c>
      <c r="AG27" s="237">
        <f t="shared" ref="AG27:AG28" si="5">+(AA27-S27)/S27</f>
        <v>0.83881110441779283</v>
      </c>
    </row>
    <row r="28" spans="1:33" thickBot="1" x14ac:dyDescent="0.25">
      <c r="A28" s="71" t="s">
        <v>45</v>
      </c>
      <c r="B28" s="148">
        <v>19</v>
      </c>
      <c r="C28" s="34">
        <v>545534</v>
      </c>
      <c r="D28" s="157">
        <v>13</v>
      </c>
      <c r="E28" s="150">
        <v>833187</v>
      </c>
      <c r="F28" s="260">
        <v>18</v>
      </c>
      <c r="G28" s="261">
        <v>1698105</v>
      </c>
      <c r="H28" s="260">
        <v>23</v>
      </c>
      <c r="I28" s="261">
        <v>839242</v>
      </c>
      <c r="J28" s="260">
        <v>17</v>
      </c>
      <c r="K28" s="261">
        <v>908069</v>
      </c>
      <c r="L28" s="324">
        <v>19</v>
      </c>
      <c r="M28" s="189">
        <v>994953</v>
      </c>
      <c r="N28" s="311">
        <v>26</v>
      </c>
      <c r="O28" s="399">
        <v>2703700</v>
      </c>
      <c r="P28" s="311">
        <v>24</v>
      </c>
      <c r="Q28" s="399">
        <v>1835404</v>
      </c>
      <c r="R28" s="311">
        <v>25</v>
      </c>
      <c r="S28" s="399">
        <v>2105802</v>
      </c>
      <c r="T28" s="311">
        <v>22</v>
      </c>
      <c r="U28" s="399">
        <v>874793</v>
      </c>
      <c r="V28" s="311">
        <v>17</v>
      </c>
      <c r="W28" s="399">
        <v>1426653</v>
      </c>
      <c r="X28" s="311">
        <v>15</v>
      </c>
      <c r="Y28" s="399">
        <v>1125422</v>
      </c>
      <c r="Z28" s="311">
        <v>27</v>
      </c>
      <c r="AA28" s="399">
        <v>2348088</v>
      </c>
      <c r="AB28" s="400"/>
      <c r="AC28" s="401"/>
      <c r="AD28" s="349"/>
      <c r="AE28" s="283">
        <f>AVERAGE(T28,R28,Z28,X28,V28)</f>
        <v>21.2</v>
      </c>
      <c r="AF28" s="402">
        <f t="shared" si="4"/>
        <v>1576151.6</v>
      </c>
      <c r="AG28" s="237">
        <f t="shared" si="5"/>
        <v>0.11505640131408366</v>
      </c>
    </row>
    <row r="29" spans="1:33" ht="18" customHeight="1" thickTop="1" thickBot="1" x14ac:dyDescent="0.25">
      <c r="A29" s="119" t="s">
        <v>15</v>
      </c>
      <c r="B29" s="545" t="s">
        <v>6</v>
      </c>
      <c r="C29" s="546"/>
      <c r="D29" s="558" t="s">
        <v>7</v>
      </c>
      <c r="E29" s="546"/>
      <c r="F29" s="553"/>
      <c r="G29" s="554"/>
      <c r="H29" s="553"/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2" x14ac:dyDescent="0.2">
      <c r="A30" s="70" t="s">
        <v>16</v>
      </c>
      <c r="B30" s="28"/>
      <c r="C30" s="33">
        <v>3178970.7</v>
      </c>
      <c r="D30" s="7"/>
      <c r="E30" s="33">
        <v>3097669.44</v>
      </c>
      <c r="F30" s="45"/>
      <c r="G30" s="111">
        <v>2556781.9700000002</v>
      </c>
      <c r="H30" s="85"/>
      <c r="I30" s="111">
        <v>5115943.04</v>
      </c>
      <c r="J30" s="56"/>
      <c r="K30" s="85">
        <v>3830783.44</v>
      </c>
      <c r="L30" s="56"/>
      <c r="M30" s="96">
        <v>3231412</v>
      </c>
      <c r="N30" s="345"/>
      <c r="O30" s="403">
        <v>3107256</v>
      </c>
      <c r="P30" s="345"/>
      <c r="Q30" s="403">
        <v>4102406.5</v>
      </c>
      <c r="R30" s="345"/>
      <c r="S30" s="403">
        <v>3804297.19</v>
      </c>
      <c r="T30" s="345"/>
      <c r="U30" s="403">
        <v>3695379.08</v>
      </c>
      <c r="V30" s="345"/>
      <c r="W30" s="403">
        <v>3480782.14</v>
      </c>
      <c r="X30" s="404"/>
      <c r="Y30" s="491">
        <v>3973299.91</v>
      </c>
      <c r="Z30" s="404"/>
      <c r="AA30" s="491">
        <v>5325328</v>
      </c>
      <c r="AB30" s="404"/>
      <c r="AC30" s="405"/>
      <c r="AD30" s="349"/>
      <c r="AE30" s="350"/>
      <c r="AF30" s="406">
        <f t="shared" ref="AF30:AF31" si="6">AVERAGE(U30,AA30,S30,W30,Y30)</f>
        <v>4055817.264</v>
      </c>
      <c r="AG30" s="245">
        <f t="shared" ref="AG30:AG31" si="7">+(AA30-S30)/S30</f>
        <v>0.39981913452981316</v>
      </c>
    </row>
    <row r="31" spans="1:33" thickBot="1" x14ac:dyDescent="0.25">
      <c r="A31" s="71" t="s">
        <v>17</v>
      </c>
      <c r="B31" s="30"/>
      <c r="C31" s="34">
        <v>696668.47</v>
      </c>
      <c r="D31" s="8"/>
      <c r="E31" s="62">
        <v>764779.59</v>
      </c>
      <c r="F31" s="46"/>
      <c r="G31" s="88">
        <v>838687.26</v>
      </c>
      <c r="H31" s="112"/>
      <c r="I31" s="88">
        <v>1082279.8999999999</v>
      </c>
      <c r="J31" s="57"/>
      <c r="K31" s="117">
        <v>1091635.3500000001</v>
      </c>
      <c r="L31" s="57"/>
      <c r="M31" s="130">
        <v>880564.4</v>
      </c>
      <c r="N31" s="449"/>
      <c r="O31" s="408">
        <v>988579</v>
      </c>
      <c r="P31" s="449"/>
      <c r="Q31" s="408">
        <v>1362503.6799999999</v>
      </c>
      <c r="R31" s="449"/>
      <c r="S31" s="408">
        <v>1931553.99</v>
      </c>
      <c r="T31" s="449"/>
      <c r="U31" s="408">
        <v>2585201.7599999998</v>
      </c>
      <c r="V31" s="449"/>
      <c r="W31" s="408">
        <v>2940999.15</v>
      </c>
      <c r="X31" s="433"/>
      <c r="Y31" s="514">
        <v>2777582.57</v>
      </c>
      <c r="Z31" s="433"/>
      <c r="AA31" s="514">
        <v>2550013</v>
      </c>
      <c r="AB31" s="433"/>
      <c r="AC31" s="410"/>
      <c r="AD31" s="349"/>
      <c r="AE31" s="386"/>
      <c r="AF31" s="411">
        <f t="shared" si="6"/>
        <v>2557070.094</v>
      </c>
      <c r="AG31" s="247">
        <f t="shared" si="7"/>
        <v>0.32018727573853634</v>
      </c>
    </row>
    <row r="32" spans="1:33" thickTop="1" x14ac:dyDescent="0.2">
      <c r="A32" s="14"/>
      <c r="B32" s="10"/>
      <c r="C32" s="11"/>
      <c r="D32" s="10"/>
      <c r="E32" s="12"/>
      <c r="F32" s="44"/>
      <c r="G32" s="43"/>
      <c r="H32" s="44"/>
      <c r="I32" s="93"/>
      <c r="J32" s="44"/>
      <c r="K32" s="43"/>
      <c r="L32" s="44"/>
      <c r="M32" s="43"/>
      <c r="N32" s="444"/>
      <c r="O32" s="512"/>
      <c r="P32" s="444"/>
      <c r="Q32" s="512"/>
      <c r="R32" s="444"/>
      <c r="S32" s="512"/>
      <c r="T32" s="444"/>
      <c r="U32" s="512"/>
      <c r="V32" s="444"/>
      <c r="W32" s="512"/>
      <c r="X32" s="444"/>
      <c r="Y32" s="512"/>
      <c r="Z32" s="444"/>
      <c r="AA32" s="512"/>
      <c r="AB32" s="444"/>
      <c r="AC32" s="512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  <row r="34" spans="14:32" x14ac:dyDescent="0.2"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</row>
  </sheetData>
  <mergeCells count="45">
    <mergeCell ref="AE22:AF22"/>
    <mergeCell ref="AE29:AF29"/>
    <mergeCell ref="Z22:AA22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E9:AF9"/>
    <mergeCell ref="V9:W9"/>
    <mergeCell ref="R9:S9"/>
    <mergeCell ref="N9:O9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P9:Q9"/>
    <mergeCell ref="T9:U9"/>
    <mergeCell ref="F9:G9"/>
    <mergeCell ref="B9:C9"/>
    <mergeCell ref="D9:E9"/>
    <mergeCell ref="H9:I9"/>
    <mergeCell ref="L9:M9"/>
    <mergeCell ref="J9:K9"/>
    <mergeCell ref="AB9:AC9"/>
    <mergeCell ref="AB22:AC22"/>
    <mergeCell ref="AB29:AC29"/>
    <mergeCell ref="X9:Y9"/>
    <mergeCell ref="Z9:AA9"/>
  </mergeCells>
  <phoneticPr fontId="0" type="noConversion"/>
  <printOptions horizontalCentered="1" verticalCentered="1"/>
  <pageMargins left="0.5" right="0.5" top="0.5" bottom="0.97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32"/>
  <sheetViews>
    <sheetView zoomScaleNormal="100" zoomScaleSheetLayoutView="100" workbookViewId="0">
      <pane xSplit="5" ySplit="1" topLeftCell="F17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2.140625" style="1" customWidth="1"/>
    <col min="2" max="2" width="7.7109375" hidden="1" customWidth="1"/>
    <col min="3" max="3" width="10.7109375" hidden="1" customWidth="1"/>
    <col min="4" max="4" width="7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140625" style="1" customWidth="1"/>
    <col min="31" max="31" width="4.7109375" style="1" customWidth="1"/>
    <col min="32" max="32" width="11" style="1" customWidth="1"/>
    <col min="33" max="33" width="8.7109375" style="1" customWidth="1"/>
    <col min="34" max="16384" width="10.28515625" style="1"/>
  </cols>
  <sheetData>
    <row r="1" spans="1:33" ht="15.75" x14ac:dyDescent="0.25">
      <c r="A1" s="251" t="s">
        <v>48</v>
      </c>
      <c r="B1" s="125"/>
      <c r="C1" s="125"/>
      <c r="D1" s="125"/>
      <c r="E1" s="125"/>
      <c r="F1" s="126"/>
      <c r="G1" s="126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5.75" x14ac:dyDescent="0.25">
      <c r="A2" s="251" t="s">
        <v>49</v>
      </c>
      <c r="B2" s="1"/>
      <c r="C2" s="1"/>
      <c r="D2" s="1"/>
      <c r="E2" s="1"/>
      <c r="F2" s="37"/>
      <c r="G2" s="37"/>
      <c r="H2" s="37"/>
      <c r="I2" s="37"/>
    </row>
    <row r="3" spans="1:33" s="3" customFormat="1" x14ac:dyDescent="0.2">
      <c r="A3" s="16"/>
      <c r="F3" s="13"/>
      <c r="G3" s="13"/>
      <c r="H3" s="13"/>
      <c r="I3" s="13"/>
      <c r="AG3" s="1"/>
    </row>
    <row r="4" spans="1:33" s="3" customFormat="1" ht="15.75" x14ac:dyDescent="0.25">
      <c r="A4" s="252" t="s">
        <v>50</v>
      </c>
      <c r="F4" s="13"/>
      <c r="G4" s="13"/>
      <c r="H4" s="13"/>
      <c r="I4" s="13"/>
      <c r="AG4" s="1"/>
    </row>
    <row r="5" spans="1:33" s="3" customFormat="1" ht="12" x14ac:dyDescent="0.2">
      <c r="F5" s="13"/>
      <c r="G5" s="13"/>
      <c r="H5" s="13"/>
      <c r="I5" s="13"/>
      <c r="AG5" s="1"/>
    </row>
    <row r="6" spans="1:33" ht="25.5" x14ac:dyDescent="0.2">
      <c r="A6" s="332" t="s">
        <v>4</v>
      </c>
      <c r="B6" s="14"/>
      <c r="C6" s="159"/>
      <c r="D6" s="14"/>
      <c r="E6" s="159"/>
      <c r="F6" s="79"/>
      <c r="G6" s="80"/>
      <c r="H6" s="79"/>
      <c r="I6" s="80"/>
      <c r="J6" s="79"/>
      <c r="K6" s="80"/>
      <c r="L6" s="79"/>
      <c r="M6" s="80"/>
      <c r="N6" s="79"/>
      <c r="O6" s="80"/>
      <c r="P6" s="79"/>
      <c r="Q6" s="80"/>
      <c r="R6" s="79"/>
      <c r="S6" s="80"/>
      <c r="T6" s="79"/>
      <c r="U6" s="80"/>
      <c r="V6" s="79"/>
      <c r="W6" s="80"/>
      <c r="X6" s="79"/>
      <c r="Y6" s="80"/>
      <c r="Z6" s="79"/>
      <c r="AA6" s="80"/>
      <c r="AB6" s="79"/>
      <c r="AC6" s="80"/>
    </row>
    <row r="7" spans="1:33" x14ac:dyDescent="0.2">
      <c r="A7" s="333">
        <v>3670045120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30" customHeight="1" thickTop="1" thickBot="1" x14ac:dyDescent="0.25">
      <c r="A9" s="67"/>
      <c r="B9" s="545" t="s">
        <v>6</v>
      </c>
      <c r="C9" s="546"/>
      <c r="D9" s="558" t="s">
        <v>7</v>
      </c>
      <c r="E9" s="558"/>
      <c r="F9" s="543" t="s">
        <v>20</v>
      </c>
      <c r="G9" s="540"/>
      <c r="H9" s="539" t="s">
        <v>22</v>
      </c>
      <c r="I9" s="539"/>
      <c r="J9" s="543" t="s">
        <v>23</v>
      </c>
      <c r="K9" s="539"/>
      <c r="L9" s="543" t="s">
        <v>24</v>
      </c>
      <c r="M9" s="540"/>
      <c r="N9" s="539" t="s">
        <v>28</v>
      </c>
      <c r="O9" s="540"/>
      <c r="P9" s="539" t="s">
        <v>29</v>
      </c>
      <c r="Q9" s="540"/>
      <c r="R9" s="539" t="s">
        <v>33</v>
      </c>
      <c r="S9" s="540"/>
      <c r="T9" s="539" t="s">
        <v>34</v>
      </c>
      <c r="U9" s="540"/>
      <c r="V9" s="539" t="s">
        <v>35</v>
      </c>
      <c r="W9" s="540"/>
      <c r="X9" s="539" t="s">
        <v>36</v>
      </c>
      <c r="Y9" s="540"/>
      <c r="Z9" s="539" t="s">
        <v>37</v>
      </c>
      <c r="AA9" s="540"/>
      <c r="AB9" s="543" t="s">
        <v>56</v>
      </c>
      <c r="AC9" s="544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122"/>
      <c r="F10" s="230"/>
      <c r="G10" s="231"/>
      <c r="H10" s="232"/>
      <c r="I10" s="232"/>
      <c r="J10" s="230"/>
      <c r="K10" s="232"/>
      <c r="L10" s="230"/>
      <c r="M10" s="231"/>
      <c r="N10" s="232"/>
      <c r="O10" s="231"/>
      <c r="P10" s="232"/>
      <c r="Q10" s="231"/>
      <c r="R10" s="232"/>
      <c r="S10" s="231"/>
      <c r="T10" s="232"/>
      <c r="U10" s="231"/>
      <c r="V10" s="232"/>
      <c r="W10" s="231"/>
      <c r="X10" s="232"/>
      <c r="Y10" s="231"/>
      <c r="Z10" s="232"/>
      <c r="AA10" s="231"/>
      <c r="AB10" s="232"/>
      <c r="AC10" s="233"/>
      <c r="AE10" s="248"/>
      <c r="AF10" s="249"/>
      <c r="AG10" s="235"/>
    </row>
    <row r="11" spans="1:33" ht="12" x14ac:dyDescent="0.2">
      <c r="A11" s="68" t="s">
        <v>9</v>
      </c>
      <c r="B11" s="20"/>
      <c r="C11" s="21"/>
      <c r="D11" s="5"/>
      <c r="E11" s="5"/>
      <c r="F11" s="49"/>
      <c r="G11" s="47"/>
      <c r="H11" s="40"/>
      <c r="I11" s="40"/>
      <c r="J11" s="49"/>
      <c r="K11" s="40"/>
      <c r="L11" s="49"/>
      <c r="M11" s="47"/>
      <c r="N11" s="40"/>
      <c r="O11" s="47"/>
      <c r="P11" s="40"/>
      <c r="Q11" s="47"/>
      <c r="R11" s="40"/>
      <c r="S11" s="47"/>
      <c r="T11" s="40"/>
      <c r="U11" s="47"/>
      <c r="V11" s="40"/>
      <c r="W11" s="47"/>
      <c r="X11" s="40"/>
      <c r="Y11" s="47"/>
      <c r="Z11" s="40"/>
      <c r="AA11" s="47"/>
      <c r="AB11" s="40"/>
      <c r="AC11" s="164"/>
      <c r="AE11" s="123"/>
      <c r="AF11" s="236"/>
      <c r="AG11" s="236"/>
    </row>
    <row r="12" spans="1:33" ht="12" x14ac:dyDescent="0.2">
      <c r="A12" s="69" t="s">
        <v>10</v>
      </c>
      <c r="B12" s="19"/>
      <c r="C12" s="22">
        <v>1214143</v>
      </c>
      <c r="D12" s="4"/>
      <c r="E12" s="31">
        <v>1295928</v>
      </c>
      <c r="F12" s="48"/>
      <c r="G12" s="73">
        <v>1344026</v>
      </c>
      <c r="H12" s="39"/>
      <c r="I12" s="76">
        <v>1386251</v>
      </c>
      <c r="J12" s="48"/>
      <c r="K12" s="76">
        <v>1452801</v>
      </c>
      <c r="L12" s="48"/>
      <c r="M12" s="73">
        <v>1493090</v>
      </c>
      <c r="N12" s="345"/>
      <c r="O12" s="352">
        <v>1526438</v>
      </c>
      <c r="P12" s="345"/>
      <c r="Q12" s="352">
        <v>1644417</v>
      </c>
      <c r="R12" s="345"/>
      <c r="S12" s="352">
        <v>1658060</v>
      </c>
      <c r="T12" s="345"/>
      <c r="U12" s="352">
        <v>1696895</v>
      </c>
      <c r="V12" s="345"/>
      <c r="W12" s="352">
        <v>1766478</v>
      </c>
      <c r="X12" s="345"/>
      <c r="Y12" s="352">
        <v>1766825</v>
      </c>
      <c r="Z12" s="345"/>
      <c r="AA12" s="352">
        <v>1739278</v>
      </c>
      <c r="AB12" s="345"/>
      <c r="AC12" s="353">
        <v>1878749</v>
      </c>
      <c r="AD12" s="349"/>
      <c r="AE12" s="350"/>
      <c r="AF12" s="351">
        <f>AVERAGE(W12,U12,Y12,AC12,AA12)</f>
        <v>1769645</v>
      </c>
      <c r="AG12" s="237">
        <f>+(AC12-U12)/U12</f>
        <v>0.10716868162143209</v>
      </c>
    </row>
    <row r="13" spans="1:33" ht="12" x14ac:dyDescent="0.2">
      <c r="A13" s="69" t="s">
        <v>30</v>
      </c>
      <c r="B13" s="19"/>
      <c r="C13" s="22"/>
      <c r="D13" s="4"/>
      <c r="E13" s="31"/>
      <c r="F13" s="48"/>
      <c r="G13" s="73"/>
      <c r="H13" s="39"/>
      <c r="I13" s="76"/>
      <c r="J13" s="48"/>
      <c r="K13" s="76"/>
      <c r="L13" s="48"/>
      <c r="M13" s="73"/>
      <c r="N13" s="345"/>
      <c r="O13" s="352">
        <v>0</v>
      </c>
      <c r="P13" s="345"/>
      <c r="Q13" s="352">
        <v>0</v>
      </c>
      <c r="R13" s="345"/>
      <c r="S13" s="352">
        <v>0</v>
      </c>
      <c r="T13" s="345"/>
      <c r="U13" s="352">
        <v>13956</v>
      </c>
      <c r="V13" s="345"/>
      <c r="W13" s="352">
        <v>0</v>
      </c>
      <c r="X13" s="345"/>
      <c r="Y13" s="352">
        <v>0</v>
      </c>
      <c r="Z13" s="345"/>
      <c r="AA13" s="352">
        <v>0</v>
      </c>
      <c r="AB13" s="345"/>
      <c r="AC13" s="353">
        <v>0</v>
      </c>
      <c r="AD13" s="349"/>
      <c r="AE13" s="354"/>
      <c r="AF13" s="351">
        <f t="shared" ref="AF13:AF21" si="0">AVERAGE(W13,U13,Y13,AC13,AA13)</f>
        <v>2791.2</v>
      </c>
      <c r="AG13" s="237">
        <f t="shared" ref="AG13:AG21" si="1">+(AC13-U13)/U13</f>
        <v>-1</v>
      </c>
    </row>
    <row r="14" spans="1:33" ht="36.75" thickBot="1" x14ac:dyDescent="0.25">
      <c r="A14" s="195" t="s">
        <v>31</v>
      </c>
      <c r="B14" s="196"/>
      <c r="C14" s="197">
        <v>84643</v>
      </c>
      <c r="D14" s="138"/>
      <c r="E14" s="288">
        <v>262488</v>
      </c>
      <c r="F14" s="198"/>
      <c r="G14" s="199">
        <v>262457</v>
      </c>
      <c r="H14" s="200"/>
      <c r="I14" s="201">
        <v>262942</v>
      </c>
      <c r="J14" s="198"/>
      <c r="K14" s="201">
        <v>262815</v>
      </c>
      <c r="L14" s="198"/>
      <c r="M14" s="199">
        <v>278976</v>
      </c>
      <c r="N14" s="355"/>
      <c r="O14" s="356">
        <v>132134</v>
      </c>
      <c r="P14" s="355"/>
      <c r="Q14" s="356">
        <v>232834</v>
      </c>
      <c r="R14" s="355"/>
      <c r="S14" s="356">
        <v>142245</v>
      </c>
      <c r="T14" s="355"/>
      <c r="U14" s="356">
        <v>268309</v>
      </c>
      <c r="V14" s="355"/>
      <c r="W14" s="356">
        <v>279131</v>
      </c>
      <c r="X14" s="355"/>
      <c r="Y14" s="356">
        <v>359197</v>
      </c>
      <c r="Z14" s="355"/>
      <c r="AA14" s="356">
        <v>286668</v>
      </c>
      <c r="AB14" s="355"/>
      <c r="AC14" s="357">
        <v>435651</v>
      </c>
      <c r="AD14" s="349"/>
      <c r="AE14" s="358"/>
      <c r="AF14" s="359">
        <f t="shared" si="0"/>
        <v>325791.2</v>
      </c>
      <c r="AG14" s="237">
        <f t="shared" si="1"/>
        <v>0.62369134095390022</v>
      </c>
    </row>
    <row r="15" spans="1:33" ht="18.75" customHeight="1" thickBot="1" x14ac:dyDescent="0.25">
      <c r="A15" s="205" t="s">
        <v>11</v>
      </c>
      <c r="B15" s="206"/>
      <c r="C15" s="207">
        <f>SUM(C12:C14)</f>
        <v>1298786</v>
      </c>
      <c r="D15" s="274"/>
      <c r="E15" s="291">
        <f>SUM(E12:E14)</f>
        <v>1558416</v>
      </c>
      <c r="F15" s="209"/>
      <c r="G15" s="210">
        <f>SUM(G12:G14)</f>
        <v>1606483</v>
      </c>
      <c r="H15" s="211"/>
      <c r="I15" s="212">
        <f>SUM(I12:I14)</f>
        <v>1649193</v>
      </c>
      <c r="J15" s="209"/>
      <c r="K15" s="212">
        <f>SUM(K12:K14)</f>
        <v>1715616</v>
      </c>
      <c r="L15" s="209"/>
      <c r="M15" s="210">
        <f>SUM(M12:M14)</f>
        <v>1772066</v>
      </c>
      <c r="N15" s="360"/>
      <c r="O15" s="361">
        <f>SUM(O12:O14)</f>
        <v>1658572</v>
      </c>
      <c r="P15" s="360"/>
      <c r="Q15" s="361">
        <f>SUM(Q12:Q14)</f>
        <v>1877251</v>
      </c>
      <c r="R15" s="360"/>
      <c r="S15" s="361">
        <f>SUM(S12:S14)</f>
        <v>1800305</v>
      </c>
      <c r="T15" s="360"/>
      <c r="U15" s="361">
        <f>SUM(U12:U14)</f>
        <v>1979160</v>
      </c>
      <c r="V15" s="360"/>
      <c r="W15" s="361">
        <f>SUM(W12:W14)</f>
        <v>2045609</v>
      </c>
      <c r="X15" s="360"/>
      <c r="Y15" s="361">
        <f>SUM(Y12:Y14)</f>
        <v>2126022</v>
      </c>
      <c r="Z15" s="360"/>
      <c r="AA15" s="361">
        <f>SUM(AA12:AA14)</f>
        <v>2025946</v>
      </c>
      <c r="AB15" s="360"/>
      <c r="AC15" s="362">
        <f>SUM(AC12:AC14)</f>
        <v>2314400</v>
      </c>
      <c r="AD15" s="349"/>
      <c r="AE15" s="363"/>
      <c r="AF15" s="364">
        <f t="shared" si="0"/>
        <v>2098227.4</v>
      </c>
      <c r="AG15" s="238">
        <f t="shared" si="1"/>
        <v>0.16938499161260331</v>
      </c>
    </row>
    <row r="16" spans="1:33" ht="12" x14ac:dyDescent="0.2">
      <c r="A16" s="203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2" x14ac:dyDescent="0.2">
      <c r="A17" s="69" t="s">
        <v>10</v>
      </c>
      <c r="B17" s="20"/>
      <c r="C17" s="23"/>
      <c r="D17" s="5"/>
      <c r="E17" s="32"/>
      <c r="F17" s="49"/>
      <c r="G17" s="74"/>
      <c r="H17" s="40"/>
      <c r="I17" s="77"/>
      <c r="J17" s="49"/>
      <c r="K17" s="77"/>
      <c r="L17" s="49"/>
      <c r="M17" s="74"/>
      <c r="N17" s="367"/>
      <c r="O17" s="368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2" x14ac:dyDescent="0.2">
      <c r="A18" s="69" t="s">
        <v>30</v>
      </c>
      <c r="B18" s="20"/>
      <c r="C18" s="23"/>
      <c r="D18" s="5"/>
      <c r="E18" s="32"/>
      <c r="F18" s="49"/>
      <c r="G18" s="74"/>
      <c r="H18" s="40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36.75" thickBot="1" x14ac:dyDescent="0.25">
      <c r="A19" s="195" t="s">
        <v>31</v>
      </c>
      <c r="B19" s="196"/>
      <c r="C19" s="197"/>
      <c r="D19" s="138"/>
      <c r="E19" s="288"/>
      <c r="F19" s="198"/>
      <c r="G19" s="199"/>
      <c r="H19" s="200"/>
      <c r="I19" s="201"/>
      <c r="J19" s="198"/>
      <c r="K19" s="201"/>
      <c r="L19" s="198"/>
      <c r="M19" s="199"/>
      <c r="N19" s="355"/>
      <c r="O19" s="356"/>
      <c r="P19" s="355"/>
      <c r="Q19" s="356"/>
      <c r="R19" s="355"/>
      <c r="S19" s="356"/>
      <c r="T19" s="355"/>
      <c r="U19" s="356"/>
      <c r="V19" s="355"/>
      <c r="W19" s="356"/>
      <c r="X19" s="355"/>
      <c r="Y19" s="356"/>
      <c r="Z19" s="355"/>
      <c r="AA19" s="356"/>
      <c r="AB19" s="355"/>
      <c r="AC19" s="357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0</v>
      </c>
      <c r="D20" s="274"/>
      <c r="E20" s="291">
        <f>SUM(E17:E19)</f>
        <v>0</v>
      </c>
      <c r="F20" s="209"/>
      <c r="G20" s="210">
        <f>SUM(G17:G19)</f>
        <v>0</v>
      </c>
      <c r="H20" s="211"/>
      <c r="I20" s="212">
        <f>SUM(I17:I19)</f>
        <v>0</v>
      </c>
      <c r="J20" s="209"/>
      <c r="K20" s="212">
        <f>SUM(K17:K19)</f>
        <v>0</v>
      </c>
      <c r="L20" s="209"/>
      <c r="M20" s="210">
        <f>SUM(M17:M19)</f>
        <v>0</v>
      </c>
      <c r="N20" s="360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227" t="s">
        <v>14</v>
      </c>
      <c r="B21" s="217"/>
      <c r="C21" s="218">
        <f>SUM(C15,C20)</f>
        <v>1298786</v>
      </c>
      <c r="D21" s="265"/>
      <c r="E21" s="287">
        <f>SUM(E15,E20)</f>
        <v>1558416</v>
      </c>
      <c r="F21" s="220"/>
      <c r="G21" s="221">
        <f>SUM(G15,G20)</f>
        <v>1606483</v>
      </c>
      <c r="H21" s="222"/>
      <c r="I21" s="223">
        <f>SUM(I15,I20)</f>
        <v>1649193</v>
      </c>
      <c r="J21" s="220"/>
      <c r="K21" s="223">
        <f>SUM(K15,K20)</f>
        <v>1715616</v>
      </c>
      <c r="L21" s="220"/>
      <c r="M21" s="221">
        <f>SUM(M15,M20)</f>
        <v>1772066</v>
      </c>
      <c r="N21" s="370"/>
      <c r="O21" s="371">
        <f>SUM(O15,O20)</f>
        <v>1658572</v>
      </c>
      <c r="P21" s="370"/>
      <c r="Q21" s="371">
        <f>SUM(Q15,Q20)</f>
        <v>1877251</v>
      </c>
      <c r="R21" s="370"/>
      <c r="S21" s="371">
        <f>SUM(S15,S20)</f>
        <v>1800305</v>
      </c>
      <c r="T21" s="370"/>
      <c r="U21" s="371">
        <f>SUM(U15,U20)</f>
        <v>1979160</v>
      </c>
      <c r="V21" s="370"/>
      <c r="W21" s="371">
        <f>SUM(W15,W20)</f>
        <v>2045609</v>
      </c>
      <c r="X21" s="370"/>
      <c r="Y21" s="371">
        <f>SUM(Y15,Y20)</f>
        <v>2126022</v>
      </c>
      <c r="Z21" s="370"/>
      <c r="AA21" s="371">
        <f>SUM(AA15,AA20)</f>
        <v>2025946</v>
      </c>
      <c r="AB21" s="370"/>
      <c r="AC21" s="372">
        <f>SUM(AC15,AC20)</f>
        <v>2314400</v>
      </c>
      <c r="AD21" s="349"/>
      <c r="AE21" s="373"/>
      <c r="AF21" s="374">
        <f t="shared" si="0"/>
        <v>2098227.4</v>
      </c>
      <c r="AG21" s="242">
        <f t="shared" si="1"/>
        <v>0.16938499161260331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52"/>
      <c r="G22" s="551"/>
      <c r="H22" s="550"/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31"/>
      <c r="Y22" s="532"/>
      <c r="Z22" s="531"/>
      <c r="AA22" s="532"/>
      <c r="AB22" s="531"/>
      <c r="AC22" s="536"/>
      <c r="AD22" s="349"/>
      <c r="AE22" s="527"/>
      <c r="AF22" s="528"/>
      <c r="AG22" s="243"/>
    </row>
    <row r="23" spans="1:33" ht="12" x14ac:dyDescent="0.2">
      <c r="A23" s="262" t="s">
        <v>41</v>
      </c>
      <c r="B23" s="24"/>
      <c r="C23" s="25">
        <f>160935+799229</f>
        <v>960164</v>
      </c>
      <c r="D23" s="6"/>
      <c r="E23" s="107">
        <f>1026156+4938</f>
        <v>1031094</v>
      </c>
      <c r="F23" s="114"/>
      <c r="G23" s="100">
        <v>1138696.29</v>
      </c>
      <c r="H23" s="98"/>
      <c r="I23" s="98">
        <v>1272937.01</v>
      </c>
      <c r="J23" s="56"/>
      <c r="K23" s="98">
        <f>1249599+315119+37740</f>
        <v>1602458</v>
      </c>
      <c r="L23" s="56"/>
      <c r="M23" s="224">
        <v>1339920</v>
      </c>
      <c r="N23" s="345"/>
      <c r="O23" s="463">
        <v>1405781</v>
      </c>
      <c r="P23" s="345"/>
      <c r="Q23" s="463">
        <v>1497209</v>
      </c>
      <c r="R23" s="345"/>
      <c r="S23" s="463">
        <v>1528160</v>
      </c>
      <c r="T23" s="345"/>
      <c r="U23" s="463">
        <v>1133411</v>
      </c>
      <c r="V23" s="345"/>
      <c r="W23" s="463">
        <v>1236072.97</v>
      </c>
      <c r="X23" s="404"/>
      <c r="Y23" s="464">
        <v>1231677</v>
      </c>
      <c r="Z23" s="404"/>
      <c r="AA23" s="464">
        <v>1494889</v>
      </c>
      <c r="AB23" s="404"/>
      <c r="AC23" s="465"/>
      <c r="AD23" s="349"/>
      <c r="AE23" s="350"/>
      <c r="AF23" s="351">
        <f>AVERAGE(U23,AA23,S23,W23,Y23)</f>
        <v>1324841.9939999999</v>
      </c>
      <c r="AG23" s="237">
        <f>+(AA23-S23)/S23</f>
        <v>-2.1771934875929221E-2</v>
      </c>
    </row>
    <row r="24" spans="1:33" ht="12" x14ac:dyDescent="0.2">
      <c r="A24" s="262" t="s">
        <v>39</v>
      </c>
      <c r="B24" s="27"/>
      <c r="C24" s="35"/>
      <c r="D24" s="9"/>
      <c r="E24" s="109"/>
      <c r="F24" s="27"/>
      <c r="G24" s="176">
        <f>2908361.96+672124.84</f>
        <v>3580486.8</v>
      </c>
      <c r="H24" s="27"/>
      <c r="I24" s="35">
        <f>3680850.97+524757.03</f>
        <v>4205608</v>
      </c>
      <c r="J24" s="27"/>
      <c r="K24" s="35">
        <f>3460404.01+574086.34</f>
        <v>4034490.3499999996</v>
      </c>
      <c r="L24" s="27"/>
      <c r="M24" s="35">
        <f>3003769.98+563727.31</f>
        <v>3567497.29</v>
      </c>
      <c r="N24" s="425"/>
      <c r="O24" s="426">
        <f>3184109.66+894322.61</f>
        <v>4078432.27</v>
      </c>
      <c r="P24" s="425"/>
      <c r="Q24" s="426">
        <f>2789154.59+667428.98</f>
        <v>3456583.57</v>
      </c>
      <c r="R24" s="425"/>
      <c r="S24" s="426">
        <f>2792226.84+699055.739999999</f>
        <v>3491282.5799999987</v>
      </c>
      <c r="T24" s="425"/>
      <c r="U24" s="426">
        <f>2616110.03+1188799.1</f>
        <v>3804909.13</v>
      </c>
      <c r="V24" s="425"/>
      <c r="W24" s="426">
        <v>1182709.8700000001</v>
      </c>
      <c r="X24" s="427"/>
      <c r="Y24" s="458">
        <f>1336085+2603880</f>
        <v>3939965</v>
      </c>
      <c r="Z24" s="427"/>
      <c r="AA24" s="458">
        <f>1433268+1524031</f>
        <v>2957299</v>
      </c>
      <c r="AB24" s="427"/>
      <c r="AC24" s="494"/>
      <c r="AD24" s="349"/>
      <c r="AE24" s="350"/>
      <c r="AF24" s="351">
        <f t="shared" ref="AF24:AF25" si="2">AVERAGE(U24,AA24,S24,W24,Y24)</f>
        <v>3075233.1159999995</v>
      </c>
      <c r="AG24" s="237">
        <f t="shared" ref="AG24:AG25" si="3">+(AA24-S24)/S24</f>
        <v>-0.15294768262499076</v>
      </c>
    </row>
    <row r="25" spans="1:33" thickBot="1" x14ac:dyDescent="0.25">
      <c r="A25" s="263" t="s">
        <v>40</v>
      </c>
      <c r="B25" s="10"/>
      <c r="C25" s="11"/>
      <c r="D25" s="10"/>
      <c r="E25" s="81"/>
      <c r="F25" s="30"/>
      <c r="G25" s="178">
        <v>73822.98</v>
      </c>
      <c r="H25" s="30"/>
      <c r="I25" s="139">
        <v>83615.23</v>
      </c>
      <c r="J25" s="30"/>
      <c r="K25" s="139">
        <v>64241.99</v>
      </c>
      <c r="L25" s="30"/>
      <c r="M25" s="139">
        <v>82398.509999999995</v>
      </c>
      <c r="N25" s="431"/>
      <c r="O25" s="432">
        <v>66045.75</v>
      </c>
      <c r="P25" s="431"/>
      <c r="Q25" s="432">
        <v>87267.88</v>
      </c>
      <c r="R25" s="431"/>
      <c r="S25" s="432">
        <v>42798.33</v>
      </c>
      <c r="T25" s="431"/>
      <c r="U25" s="432">
        <v>30680.5</v>
      </c>
      <c r="V25" s="431"/>
      <c r="W25" s="432">
        <v>0</v>
      </c>
      <c r="X25" s="431"/>
      <c r="Y25" s="432">
        <v>0</v>
      </c>
      <c r="Z25" s="431"/>
      <c r="AA25" s="432">
        <v>32314</v>
      </c>
      <c r="AB25" s="431"/>
      <c r="AC25" s="515"/>
      <c r="AD25" s="349"/>
      <c r="AE25" s="386"/>
      <c r="AF25" s="351">
        <f t="shared" si="2"/>
        <v>21158.565999999999</v>
      </c>
      <c r="AG25" s="237">
        <f t="shared" si="3"/>
        <v>-0.24497053973834965</v>
      </c>
    </row>
    <row r="26" spans="1:33" ht="18" customHeight="1" thickTop="1" x14ac:dyDescent="0.2">
      <c r="A26" s="119" t="s">
        <v>52</v>
      </c>
      <c r="B26" s="293" t="s">
        <v>18</v>
      </c>
      <c r="C26" s="294" t="s">
        <v>19</v>
      </c>
      <c r="D26" s="295" t="s">
        <v>18</v>
      </c>
      <c r="E26" s="325" t="s">
        <v>19</v>
      </c>
      <c r="F26" s="326" t="s">
        <v>18</v>
      </c>
      <c r="G26" s="327" t="s">
        <v>19</v>
      </c>
      <c r="H26" s="328" t="s">
        <v>18</v>
      </c>
      <c r="I26" s="329" t="s">
        <v>19</v>
      </c>
      <c r="J26" s="192" t="s">
        <v>18</v>
      </c>
      <c r="K26" s="330" t="s">
        <v>19</v>
      </c>
      <c r="L26" s="192" t="s">
        <v>18</v>
      </c>
      <c r="M26" s="193" t="s">
        <v>19</v>
      </c>
      <c r="N26" s="387" t="s">
        <v>18</v>
      </c>
      <c r="O26" s="388" t="s">
        <v>19</v>
      </c>
      <c r="P26" s="387" t="s">
        <v>18</v>
      </c>
      <c r="Q26" s="388" t="s">
        <v>19</v>
      </c>
      <c r="R26" s="387" t="s">
        <v>18</v>
      </c>
      <c r="S26" s="388" t="s">
        <v>19</v>
      </c>
      <c r="T26" s="387" t="s">
        <v>18</v>
      </c>
      <c r="U26" s="388" t="s">
        <v>19</v>
      </c>
      <c r="V26" s="387" t="s">
        <v>18</v>
      </c>
      <c r="W26" s="388" t="s">
        <v>19</v>
      </c>
      <c r="X26" s="389" t="s">
        <v>18</v>
      </c>
      <c r="Y26" s="439" t="s">
        <v>19</v>
      </c>
      <c r="Z26" s="389" t="s">
        <v>18</v>
      </c>
      <c r="AA26" s="439" t="s">
        <v>19</v>
      </c>
      <c r="AB26" s="389" t="s">
        <v>18</v>
      </c>
      <c r="AC26" s="390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1.45" customHeight="1" x14ac:dyDescent="0.2">
      <c r="A27" s="69" t="s">
        <v>44</v>
      </c>
      <c r="B27" s="63">
        <v>25</v>
      </c>
      <c r="C27" s="26">
        <v>1837541</v>
      </c>
      <c r="D27" s="113">
        <v>16</v>
      </c>
      <c r="E27" s="84">
        <v>899583</v>
      </c>
      <c r="F27" s="186">
        <v>25</v>
      </c>
      <c r="G27" s="255">
        <v>1212080</v>
      </c>
      <c r="H27" s="186">
        <v>27</v>
      </c>
      <c r="I27" s="255">
        <v>2257290</v>
      </c>
      <c r="J27" s="186">
        <v>27</v>
      </c>
      <c r="K27" s="255">
        <v>1419658</v>
      </c>
      <c r="L27" s="186">
        <v>20</v>
      </c>
      <c r="M27" s="255">
        <v>1102330</v>
      </c>
      <c r="N27" s="394">
        <v>19</v>
      </c>
      <c r="O27" s="441">
        <v>893697</v>
      </c>
      <c r="P27" s="394">
        <v>26</v>
      </c>
      <c r="Q27" s="441">
        <v>2663771</v>
      </c>
      <c r="R27" s="394">
        <v>24</v>
      </c>
      <c r="S27" s="441">
        <v>1264767</v>
      </c>
      <c r="T27" s="394">
        <v>25</v>
      </c>
      <c r="U27" s="441">
        <v>1483149</v>
      </c>
      <c r="V27" s="394">
        <v>15</v>
      </c>
      <c r="W27" s="441">
        <v>1059067</v>
      </c>
      <c r="X27" s="394">
        <v>17</v>
      </c>
      <c r="Y27" s="441">
        <v>1629735</v>
      </c>
      <c r="Z27" s="394">
        <v>29</v>
      </c>
      <c r="AA27" s="441">
        <v>1435341</v>
      </c>
      <c r="AB27" s="516"/>
      <c r="AC27" s="442"/>
      <c r="AD27" s="502"/>
      <c r="AE27" s="283">
        <f>AVERAGE(T27,R27,Z27,X27,V27)</f>
        <v>22</v>
      </c>
      <c r="AF27" s="398">
        <f t="shared" ref="AF27:AF28" si="4">AVERAGE(U27,AA27,S27,W27,Y27)</f>
        <v>1374411.8</v>
      </c>
      <c r="AG27" s="237">
        <f t="shared" ref="AG27:AG28" si="5">+(AA27-S27)/S27</f>
        <v>0.13486594764094889</v>
      </c>
    </row>
    <row r="28" spans="1:33" thickBot="1" x14ac:dyDescent="0.25">
      <c r="A28" s="71" t="s">
        <v>45</v>
      </c>
      <c r="B28" s="148">
        <v>19</v>
      </c>
      <c r="C28" s="34">
        <v>876542</v>
      </c>
      <c r="D28" s="157">
        <v>13</v>
      </c>
      <c r="E28" s="51">
        <v>384980</v>
      </c>
      <c r="F28" s="188">
        <v>15</v>
      </c>
      <c r="G28" s="189">
        <v>556229</v>
      </c>
      <c r="H28" s="188">
        <v>17</v>
      </c>
      <c r="I28" s="189">
        <v>480353</v>
      </c>
      <c r="J28" s="188">
        <v>12</v>
      </c>
      <c r="K28" s="189">
        <v>431706</v>
      </c>
      <c r="L28" s="188">
        <v>14</v>
      </c>
      <c r="M28" s="189">
        <v>873950</v>
      </c>
      <c r="N28" s="311">
        <v>9</v>
      </c>
      <c r="O28" s="399">
        <v>431774</v>
      </c>
      <c r="P28" s="311">
        <v>12</v>
      </c>
      <c r="Q28" s="399">
        <v>863656</v>
      </c>
      <c r="R28" s="311">
        <v>13</v>
      </c>
      <c r="S28" s="399">
        <v>787941</v>
      </c>
      <c r="T28" s="311">
        <v>18</v>
      </c>
      <c r="U28" s="399">
        <v>1330252</v>
      </c>
      <c r="V28" s="311">
        <v>9</v>
      </c>
      <c r="W28" s="399">
        <v>903179</v>
      </c>
      <c r="X28" s="311">
        <v>4</v>
      </c>
      <c r="Y28" s="399">
        <v>261640</v>
      </c>
      <c r="Z28" s="311">
        <v>11</v>
      </c>
      <c r="AA28" s="399">
        <v>1582484</v>
      </c>
      <c r="AB28" s="517"/>
      <c r="AC28" s="443"/>
      <c r="AD28" s="502"/>
      <c r="AE28" s="283">
        <f>AVERAGE(T28,R28,Z28,X28,V28)</f>
        <v>11</v>
      </c>
      <c r="AF28" s="402">
        <f t="shared" si="4"/>
        <v>973099.2</v>
      </c>
      <c r="AG28" s="237">
        <f t="shared" si="5"/>
        <v>1.0083787999355283</v>
      </c>
    </row>
    <row r="29" spans="1:33" ht="18" customHeight="1" thickTop="1" thickBot="1" x14ac:dyDescent="0.25">
      <c r="A29" s="119" t="s">
        <v>15</v>
      </c>
      <c r="B29" s="545" t="s">
        <v>6</v>
      </c>
      <c r="C29" s="546"/>
      <c r="D29" s="558" t="s">
        <v>7</v>
      </c>
      <c r="E29" s="546"/>
      <c r="F29" s="555"/>
      <c r="G29" s="554"/>
      <c r="H29" s="553"/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3"/>
      <c r="Y29" s="534"/>
      <c r="Z29" s="533"/>
      <c r="AA29" s="534"/>
      <c r="AB29" s="533"/>
      <c r="AC29" s="565"/>
      <c r="AD29" s="349"/>
      <c r="AE29" s="529"/>
      <c r="AF29" s="530"/>
      <c r="AG29" s="246"/>
    </row>
    <row r="30" spans="1:33" ht="12" x14ac:dyDescent="0.2">
      <c r="A30" s="70" t="s">
        <v>16</v>
      </c>
      <c r="B30" s="28"/>
      <c r="C30" s="33">
        <f>41090.62+58900</f>
        <v>99990.62</v>
      </c>
      <c r="D30" s="7"/>
      <c r="E30" s="50">
        <f>68244.5+4625</f>
        <v>72869.5</v>
      </c>
      <c r="F30" s="114"/>
      <c r="G30" s="115">
        <f>46266+677470</f>
        <v>723736</v>
      </c>
      <c r="H30" s="116"/>
      <c r="I30" s="165">
        <f>36554+1035</f>
        <v>37589</v>
      </c>
      <c r="J30" s="56"/>
      <c r="K30" s="105">
        <f>47190+2080</f>
        <v>49270</v>
      </c>
      <c r="L30" s="56"/>
      <c r="M30" s="131">
        <f>58391+1540</f>
        <v>59931</v>
      </c>
      <c r="N30" s="345"/>
      <c r="O30" s="445">
        <f>36901+1400</f>
        <v>38301</v>
      </c>
      <c r="P30" s="345"/>
      <c r="Q30" s="445">
        <v>36224.31</v>
      </c>
      <c r="R30" s="345"/>
      <c r="S30" s="445">
        <v>151860</v>
      </c>
      <c r="T30" s="345"/>
      <c r="U30" s="445">
        <v>202158.9</v>
      </c>
      <c r="V30" s="345"/>
      <c r="W30" s="445">
        <v>220592.86</v>
      </c>
      <c r="X30" s="404"/>
      <c r="Y30" s="447">
        <v>209265.15</v>
      </c>
      <c r="Z30" s="404"/>
      <c r="AA30" s="447">
        <v>589030</v>
      </c>
      <c r="AB30" s="404"/>
      <c r="AC30" s="448"/>
      <c r="AD30" s="349"/>
      <c r="AE30" s="350"/>
      <c r="AF30" s="406">
        <f t="shared" ref="AF30:AF31" si="6">AVERAGE(U30,AA30,S30,W30,Y30)</f>
        <v>274581.38199999998</v>
      </c>
      <c r="AG30" s="245">
        <f t="shared" ref="AG30" si="7">+(AA30-S30)/S30</f>
        <v>2.8787699196628473</v>
      </c>
    </row>
    <row r="31" spans="1:33" thickBot="1" x14ac:dyDescent="0.25">
      <c r="A31" s="71" t="s">
        <v>17</v>
      </c>
      <c r="B31" s="30"/>
      <c r="C31" s="34">
        <v>0</v>
      </c>
      <c r="D31" s="8"/>
      <c r="E31" s="58">
        <v>0</v>
      </c>
      <c r="F31" s="57"/>
      <c r="G31" s="62">
        <v>0</v>
      </c>
      <c r="H31" s="46"/>
      <c r="I31" s="58">
        <v>0</v>
      </c>
      <c r="J31" s="57"/>
      <c r="K31" s="78">
        <v>0</v>
      </c>
      <c r="L31" s="57"/>
      <c r="M31" s="75">
        <v>0</v>
      </c>
      <c r="N31" s="449"/>
      <c r="O31" s="476">
        <v>0</v>
      </c>
      <c r="P31" s="449"/>
      <c r="Q31" s="476">
        <v>0</v>
      </c>
      <c r="R31" s="449"/>
      <c r="S31" s="476">
        <v>0</v>
      </c>
      <c r="T31" s="449"/>
      <c r="U31" s="476">
        <v>631415.63</v>
      </c>
      <c r="V31" s="449"/>
      <c r="W31" s="476">
        <v>825684.4</v>
      </c>
      <c r="X31" s="433"/>
      <c r="Y31" s="477">
        <v>806302.97</v>
      </c>
      <c r="Z31" s="433"/>
      <c r="AA31" s="477">
        <v>1133118</v>
      </c>
      <c r="AB31" s="433"/>
      <c r="AC31" s="478"/>
      <c r="AD31" s="349"/>
      <c r="AE31" s="386"/>
      <c r="AF31" s="411">
        <f t="shared" si="6"/>
        <v>679304.2</v>
      </c>
      <c r="AG31" s="247">
        <v>1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518"/>
      <c r="Y32" s="518"/>
      <c r="Z32" s="518"/>
      <c r="AA32" s="518"/>
      <c r="AB32" s="518"/>
      <c r="AC32" s="518"/>
      <c r="AD32" s="349"/>
      <c r="AE32" s="349"/>
      <c r="AF32" s="349"/>
    </row>
  </sheetData>
  <mergeCells count="45">
    <mergeCell ref="AE22:AF22"/>
    <mergeCell ref="AE29:AF29"/>
    <mergeCell ref="Z22:AA22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E9:AF9"/>
    <mergeCell ref="V9:W9"/>
    <mergeCell ref="R9:S9"/>
    <mergeCell ref="N9:O9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P9:Q9"/>
    <mergeCell ref="T9:U9"/>
    <mergeCell ref="F9:G9"/>
    <mergeCell ref="B9:C9"/>
    <mergeCell ref="D9:E9"/>
    <mergeCell ref="H9:I9"/>
    <mergeCell ref="L9:M9"/>
    <mergeCell ref="J9:K9"/>
    <mergeCell ref="AB9:AC9"/>
    <mergeCell ref="AB22:AC22"/>
    <mergeCell ref="AB29:AC29"/>
    <mergeCell ref="X9:Y9"/>
    <mergeCell ref="Z9:AA9"/>
  </mergeCells>
  <phoneticPr fontId="0" type="noConversion"/>
  <printOptions horizontalCentered="1" verticalCentered="1"/>
  <pageMargins left="0.5" right="0.5" top="0.5" bottom="0.99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G33"/>
  <sheetViews>
    <sheetView zoomScaleNormal="100" zoomScaleSheetLayoutView="100" workbookViewId="0">
      <pane xSplit="1" ySplit="1" topLeftCell="N15" activePane="bottomRight" state="frozen"/>
      <selection activeCell="AA31" sqref="AA31"/>
      <selection pane="topRight" activeCell="AA31" sqref="AA31"/>
      <selection pane="bottomLeft" activeCell="AA31" sqref="AA31"/>
      <selection pane="bottomRight" activeCell="AA31" sqref="AA31"/>
    </sheetView>
  </sheetViews>
  <sheetFormatPr defaultColWidth="10.28515625" defaultRowHeight="12.75" x14ac:dyDescent="0.2"/>
  <cols>
    <col min="1" max="1" width="33.42578125" style="1" customWidth="1"/>
    <col min="2" max="2" width="7.7109375" hidden="1" customWidth="1"/>
    <col min="3" max="3" width="10.7109375" hidden="1" customWidth="1"/>
    <col min="4" max="4" width="7.7109375" hidden="1" customWidth="1"/>
    <col min="5" max="5" width="10.7109375" hidden="1" customWidth="1"/>
    <col min="6" max="6" width="4.7109375" style="38" hidden="1" customWidth="1"/>
    <col min="7" max="7" width="10.7109375" style="38" hidden="1" customWidth="1"/>
    <col min="8" max="8" width="4.7109375" style="38" hidden="1" customWidth="1"/>
    <col min="9" max="9" width="10.7109375" style="3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8554687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8" x14ac:dyDescent="0.25">
      <c r="A1" s="251" t="s">
        <v>48</v>
      </c>
      <c r="B1" s="124"/>
      <c r="C1" s="124"/>
      <c r="D1" s="124"/>
      <c r="E1" s="124"/>
      <c r="F1" s="124"/>
      <c r="G1" s="124"/>
      <c r="H1" s="126"/>
      <c r="I1" s="126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3" ht="18" x14ac:dyDescent="0.25">
      <c r="A2" s="251" t="s">
        <v>49</v>
      </c>
      <c r="B2" s="124"/>
      <c r="C2" s="124"/>
      <c r="D2" s="124"/>
      <c r="E2" s="124"/>
      <c r="F2" s="124"/>
      <c r="G2" s="124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ht="12.75" customHeight="1" x14ac:dyDescent="0.25">
      <c r="A3" s="16"/>
      <c r="B3" s="124"/>
      <c r="C3" s="124"/>
      <c r="D3" s="124"/>
      <c r="E3" s="124"/>
      <c r="F3" s="124"/>
      <c r="G3" s="124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3" ht="15.75" x14ac:dyDescent="0.25">
      <c r="A4" s="252" t="s">
        <v>50</v>
      </c>
      <c r="B4" s="1"/>
      <c r="C4" s="1"/>
      <c r="D4" s="1"/>
      <c r="E4" s="1"/>
      <c r="F4" s="37"/>
      <c r="G4" s="37"/>
      <c r="H4" s="37"/>
      <c r="I4" s="37"/>
    </row>
    <row r="5" spans="1:33" s="3" customFormat="1" ht="10.5" customHeight="1" x14ac:dyDescent="0.2">
      <c r="A5" s="16"/>
      <c r="F5" s="13"/>
      <c r="G5" s="13"/>
      <c r="H5" s="13"/>
      <c r="I5" s="13"/>
      <c r="AG5" s="1"/>
    </row>
    <row r="6" spans="1:33" ht="25.5" x14ac:dyDescent="0.2">
      <c r="A6" s="332" t="s">
        <v>5</v>
      </c>
      <c r="B6" s="14"/>
      <c r="C6" s="159"/>
      <c r="D6" s="14"/>
      <c r="E6" s="159"/>
      <c r="F6" s="79"/>
      <c r="G6" s="80"/>
      <c r="H6" s="79"/>
      <c r="I6" s="80"/>
      <c r="J6" s="79"/>
      <c r="K6" s="80"/>
      <c r="L6" s="79"/>
      <c r="M6" s="80"/>
      <c r="N6" s="79"/>
      <c r="O6" s="80"/>
      <c r="P6" s="79"/>
      <c r="Q6" s="80"/>
      <c r="R6" s="79"/>
      <c r="S6" s="80"/>
      <c r="T6" s="79"/>
      <c r="U6" s="80"/>
      <c r="V6" s="79"/>
      <c r="W6" s="80"/>
      <c r="X6" s="79"/>
      <c r="Y6" s="80"/>
      <c r="Z6" s="79"/>
      <c r="AA6" s="80"/>
      <c r="AB6" s="79"/>
      <c r="AC6" s="80"/>
    </row>
    <row r="7" spans="1:33" x14ac:dyDescent="0.2">
      <c r="A7" s="333">
        <v>3670045130</v>
      </c>
      <c r="B7" s="3"/>
      <c r="C7" s="3"/>
      <c r="D7" s="3"/>
      <c r="E7" s="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3" thickBot="1" x14ac:dyDescent="0.25">
      <c r="A8" s="14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3" ht="25.5" thickTop="1" thickBot="1" x14ac:dyDescent="0.25">
      <c r="A9" s="67"/>
      <c r="B9" s="545" t="s">
        <v>6</v>
      </c>
      <c r="C9" s="546"/>
      <c r="D9" s="558" t="s">
        <v>7</v>
      </c>
      <c r="E9" s="558"/>
      <c r="F9" s="576" t="s">
        <v>20</v>
      </c>
      <c r="G9" s="575"/>
      <c r="H9" s="556" t="s">
        <v>22</v>
      </c>
      <c r="I9" s="556"/>
      <c r="J9" s="576" t="s">
        <v>23</v>
      </c>
      <c r="K9" s="556"/>
      <c r="L9" s="576" t="s">
        <v>24</v>
      </c>
      <c r="M9" s="575"/>
      <c r="N9" s="556" t="s">
        <v>28</v>
      </c>
      <c r="O9" s="575"/>
      <c r="P9" s="556" t="s">
        <v>29</v>
      </c>
      <c r="Q9" s="575"/>
      <c r="R9" s="556" t="s">
        <v>33</v>
      </c>
      <c r="S9" s="575"/>
      <c r="T9" s="556" t="s">
        <v>34</v>
      </c>
      <c r="U9" s="575"/>
      <c r="V9" s="556" t="s">
        <v>35</v>
      </c>
      <c r="W9" s="575"/>
      <c r="X9" s="556" t="s">
        <v>36</v>
      </c>
      <c r="Y9" s="575"/>
      <c r="Z9" s="556" t="s">
        <v>37</v>
      </c>
      <c r="AA9" s="575"/>
      <c r="AB9" s="556" t="s">
        <v>56</v>
      </c>
      <c r="AC9" s="557"/>
      <c r="AE9" s="541" t="s">
        <v>27</v>
      </c>
      <c r="AF9" s="542"/>
      <c r="AG9" s="234" t="s">
        <v>46</v>
      </c>
    </row>
    <row r="10" spans="1:33" ht="18" customHeight="1" x14ac:dyDescent="0.2">
      <c r="A10" s="254" t="s">
        <v>8</v>
      </c>
      <c r="B10" s="228"/>
      <c r="C10" s="229"/>
      <c r="D10" s="122"/>
      <c r="E10" s="122"/>
      <c r="F10" s="279"/>
      <c r="G10" s="281"/>
      <c r="H10" s="280"/>
      <c r="I10" s="280"/>
      <c r="J10" s="279"/>
      <c r="K10" s="280"/>
      <c r="L10" s="279"/>
      <c r="M10" s="281"/>
      <c r="N10" s="413"/>
      <c r="O10" s="414"/>
      <c r="P10" s="413"/>
      <c r="Q10" s="414"/>
      <c r="R10" s="413"/>
      <c r="S10" s="414"/>
      <c r="T10" s="413"/>
      <c r="U10" s="414"/>
      <c r="V10" s="413"/>
      <c r="W10" s="414"/>
      <c r="X10" s="413"/>
      <c r="Y10" s="414"/>
      <c r="Z10" s="413"/>
      <c r="AA10" s="414"/>
      <c r="AB10" s="413"/>
      <c r="AC10" s="415"/>
      <c r="AD10" s="349"/>
      <c r="AE10" s="416"/>
      <c r="AF10" s="417"/>
      <c r="AG10" s="235"/>
    </row>
    <row r="11" spans="1:33" ht="15" customHeight="1" x14ac:dyDescent="0.2">
      <c r="A11" s="68" t="s">
        <v>9</v>
      </c>
      <c r="B11" s="20"/>
      <c r="C11" s="21"/>
      <c r="D11" s="5"/>
      <c r="E11" s="5"/>
      <c r="F11" s="48"/>
      <c r="G11" s="72"/>
      <c r="H11" s="39"/>
      <c r="I11" s="39"/>
      <c r="J11" s="48"/>
      <c r="K11" s="39"/>
      <c r="L11" s="48"/>
      <c r="M11" s="72"/>
      <c r="N11" s="345"/>
      <c r="O11" s="346"/>
      <c r="P11" s="345"/>
      <c r="Q11" s="346"/>
      <c r="R11" s="345"/>
      <c r="S11" s="346"/>
      <c r="T11" s="345"/>
      <c r="U11" s="346"/>
      <c r="V11" s="345"/>
      <c r="W11" s="346"/>
      <c r="X11" s="345"/>
      <c r="Y11" s="346"/>
      <c r="Z11" s="345"/>
      <c r="AA11" s="346"/>
      <c r="AB11" s="345"/>
      <c r="AC11" s="348"/>
      <c r="AD11" s="349"/>
      <c r="AE11" s="350"/>
      <c r="AF11" s="351"/>
      <c r="AG11" s="236"/>
    </row>
    <row r="12" spans="1:33" ht="15" customHeight="1" x14ac:dyDescent="0.2">
      <c r="A12" s="69" t="s">
        <v>10</v>
      </c>
      <c r="B12" s="19"/>
      <c r="C12" s="22">
        <v>2603133</v>
      </c>
      <c r="D12" s="4"/>
      <c r="E12" s="31">
        <v>2801006</v>
      </c>
      <c r="F12" s="48"/>
      <c r="G12" s="73">
        <v>2880011</v>
      </c>
      <c r="H12" s="39"/>
      <c r="I12" s="77">
        <v>3052892</v>
      </c>
      <c r="J12" s="48"/>
      <c r="K12" s="77">
        <v>3147279</v>
      </c>
      <c r="L12" s="48"/>
      <c r="M12" s="74">
        <v>3293216</v>
      </c>
      <c r="N12" s="345"/>
      <c r="O12" s="368">
        <v>3110861</v>
      </c>
      <c r="P12" s="345"/>
      <c r="Q12" s="368">
        <v>3159374</v>
      </c>
      <c r="R12" s="345"/>
      <c r="S12" s="368">
        <v>3186216</v>
      </c>
      <c r="T12" s="345"/>
      <c r="U12" s="368">
        <v>3562223</v>
      </c>
      <c r="V12" s="345"/>
      <c r="W12" s="368">
        <v>4043937</v>
      </c>
      <c r="X12" s="345"/>
      <c r="Y12" s="368">
        <v>3919611</v>
      </c>
      <c r="Z12" s="345"/>
      <c r="AA12" s="368">
        <v>4646719</v>
      </c>
      <c r="AB12" s="345"/>
      <c r="AC12" s="369">
        <v>4609914</v>
      </c>
      <c r="AD12" s="349"/>
      <c r="AE12" s="350"/>
      <c r="AF12" s="351">
        <f>AVERAGE(W12,U12,Y12,AC12,AA12)</f>
        <v>4156480.8</v>
      </c>
      <c r="AG12" s="237">
        <f>+(AC12-U12)/U12</f>
        <v>0.29411157021893353</v>
      </c>
    </row>
    <row r="13" spans="1:33" ht="15" customHeight="1" x14ac:dyDescent="0.2">
      <c r="A13" s="69" t="s">
        <v>30</v>
      </c>
      <c r="B13" s="19"/>
      <c r="C13" s="22"/>
      <c r="D13" s="4"/>
      <c r="E13" s="31"/>
      <c r="F13" s="48"/>
      <c r="G13" s="133"/>
      <c r="H13" s="39"/>
      <c r="I13" s="77">
        <v>29525</v>
      </c>
      <c r="J13" s="48"/>
      <c r="K13" s="77">
        <v>23478</v>
      </c>
      <c r="L13" s="48"/>
      <c r="M13" s="74">
        <v>20175</v>
      </c>
      <c r="N13" s="345"/>
      <c r="O13" s="368">
        <v>43979</v>
      </c>
      <c r="P13" s="345"/>
      <c r="Q13" s="368">
        <v>0</v>
      </c>
      <c r="R13" s="345"/>
      <c r="S13" s="368"/>
      <c r="T13" s="345"/>
      <c r="U13" s="368"/>
      <c r="V13" s="345"/>
      <c r="W13" s="368"/>
      <c r="X13" s="345"/>
      <c r="Y13" s="368"/>
      <c r="Z13" s="345"/>
      <c r="AA13" s="368"/>
      <c r="AB13" s="345"/>
      <c r="AC13" s="369"/>
      <c r="AD13" s="349"/>
      <c r="AE13" s="354"/>
      <c r="AF13" s="351"/>
      <c r="AG13" s="236"/>
    </row>
    <row r="14" spans="1:33" ht="24.75" thickBot="1" x14ac:dyDescent="0.25">
      <c r="A14" s="195" t="s">
        <v>31</v>
      </c>
      <c r="B14" s="196"/>
      <c r="C14" s="197">
        <v>741634</v>
      </c>
      <c r="D14" s="138"/>
      <c r="E14" s="288">
        <v>1189283</v>
      </c>
      <c r="F14" s="198"/>
      <c r="G14" s="199">
        <v>1280232</v>
      </c>
      <c r="H14" s="200"/>
      <c r="I14" s="201">
        <v>1341224</v>
      </c>
      <c r="J14" s="198"/>
      <c r="K14" s="201">
        <v>1344055</v>
      </c>
      <c r="L14" s="198"/>
      <c r="M14" s="199">
        <v>1405091</v>
      </c>
      <c r="N14" s="355"/>
      <c r="O14" s="356">
        <v>1618014</v>
      </c>
      <c r="P14" s="355"/>
      <c r="Q14" s="356">
        <v>1677293</v>
      </c>
      <c r="R14" s="355"/>
      <c r="S14" s="356">
        <v>1708764</v>
      </c>
      <c r="T14" s="355"/>
      <c r="U14" s="356">
        <v>1610258</v>
      </c>
      <c r="V14" s="355"/>
      <c r="W14" s="356">
        <v>1508008</v>
      </c>
      <c r="X14" s="355"/>
      <c r="Y14" s="356">
        <v>1775439</v>
      </c>
      <c r="Z14" s="355"/>
      <c r="AA14" s="356">
        <v>1386522</v>
      </c>
      <c r="AB14" s="355"/>
      <c r="AC14" s="357">
        <v>1523833</v>
      </c>
      <c r="AD14" s="349"/>
      <c r="AE14" s="358"/>
      <c r="AF14" s="359">
        <f t="shared" ref="AF14:AF21" si="0">AVERAGE(W14,U14,Y14,AC14,AA14)</f>
        <v>1560812</v>
      </c>
      <c r="AG14" s="237">
        <f t="shared" ref="AG14:AG21" si="1">+(AC14-U14)/U14</f>
        <v>-5.3671523445311245E-2</v>
      </c>
    </row>
    <row r="15" spans="1:33" ht="18.75" customHeight="1" thickBot="1" x14ac:dyDescent="0.25">
      <c r="A15" s="205" t="s">
        <v>11</v>
      </c>
      <c r="B15" s="206"/>
      <c r="C15" s="207">
        <f>SUM(C12:C14)</f>
        <v>3344767</v>
      </c>
      <c r="D15" s="274"/>
      <c r="E15" s="291">
        <f>SUM(E12:E14)</f>
        <v>3990289</v>
      </c>
      <c r="F15" s="209"/>
      <c r="G15" s="210">
        <f>SUM(G12:G14)</f>
        <v>4160243</v>
      </c>
      <c r="H15" s="211"/>
      <c r="I15" s="212">
        <f>SUM(I12:I14)</f>
        <v>4423641</v>
      </c>
      <c r="J15" s="209"/>
      <c r="K15" s="212">
        <f>SUM(K12:K14)</f>
        <v>4514812</v>
      </c>
      <c r="L15" s="209"/>
      <c r="M15" s="210">
        <f>SUM(M12:M14)</f>
        <v>4718482</v>
      </c>
      <c r="N15" s="360"/>
      <c r="O15" s="361">
        <f>SUM(O12:O14)</f>
        <v>4772854</v>
      </c>
      <c r="P15" s="360"/>
      <c r="Q15" s="361">
        <f>SUM(Q12:Q14)</f>
        <v>4836667</v>
      </c>
      <c r="R15" s="360"/>
      <c r="S15" s="361">
        <f>SUM(S12:S14)</f>
        <v>4894980</v>
      </c>
      <c r="T15" s="360"/>
      <c r="U15" s="361">
        <f>SUM(U12:U14)</f>
        <v>5172481</v>
      </c>
      <c r="V15" s="360"/>
      <c r="W15" s="361">
        <f>SUM(W12:W14)</f>
        <v>5551945</v>
      </c>
      <c r="X15" s="360"/>
      <c r="Y15" s="361">
        <f>SUM(Y12:Y14)</f>
        <v>5695050</v>
      </c>
      <c r="Z15" s="360"/>
      <c r="AA15" s="361">
        <f>SUM(AA12:AA14)</f>
        <v>6033241</v>
      </c>
      <c r="AB15" s="360"/>
      <c r="AC15" s="362">
        <f>SUM(AC12:AC14)</f>
        <v>6133747</v>
      </c>
      <c r="AD15" s="349"/>
      <c r="AE15" s="363"/>
      <c r="AF15" s="364">
        <f t="shared" si="0"/>
        <v>5717292.7999999998</v>
      </c>
      <c r="AG15" s="238">
        <f t="shared" si="1"/>
        <v>0.18584234528846022</v>
      </c>
    </row>
    <row r="16" spans="1:33" ht="15" customHeight="1" x14ac:dyDescent="0.2">
      <c r="A16" s="203" t="s">
        <v>12</v>
      </c>
      <c r="B16" s="19"/>
      <c r="C16" s="22"/>
      <c r="D16" s="4"/>
      <c r="E16" s="31"/>
      <c r="F16" s="48"/>
      <c r="G16" s="73"/>
      <c r="H16" s="39"/>
      <c r="I16" s="76"/>
      <c r="J16" s="48"/>
      <c r="K16" s="76"/>
      <c r="L16" s="48"/>
      <c r="M16" s="73"/>
      <c r="N16" s="345"/>
      <c r="O16" s="352"/>
      <c r="P16" s="345"/>
      <c r="Q16" s="352"/>
      <c r="R16" s="345"/>
      <c r="S16" s="352"/>
      <c r="T16" s="345"/>
      <c r="U16" s="352"/>
      <c r="V16" s="345"/>
      <c r="W16" s="352"/>
      <c r="X16" s="345"/>
      <c r="Y16" s="352"/>
      <c r="Z16" s="345"/>
      <c r="AA16" s="352"/>
      <c r="AB16" s="345"/>
      <c r="AC16" s="353"/>
      <c r="AD16" s="349"/>
      <c r="AE16" s="365"/>
      <c r="AF16" s="366"/>
      <c r="AG16" s="239"/>
    </row>
    <row r="17" spans="1:33" ht="15" customHeight="1" x14ac:dyDescent="0.2">
      <c r="A17" s="69" t="s">
        <v>10</v>
      </c>
      <c r="B17" s="20"/>
      <c r="C17" s="23"/>
      <c r="D17" s="5"/>
      <c r="E17" s="32"/>
      <c r="F17" s="49"/>
      <c r="G17" s="74"/>
      <c r="H17" s="40"/>
      <c r="I17" s="77"/>
      <c r="J17" s="49"/>
      <c r="K17" s="77"/>
      <c r="L17" s="49"/>
      <c r="M17" s="74"/>
      <c r="N17" s="367"/>
      <c r="O17" s="368"/>
      <c r="P17" s="367"/>
      <c r="Q17" s="368"/>
      <c r="R17" s="367"/>
      <c r="S17" s="368"/>
      <c r="T17" s="367"/>
      <c r="U17" s="368"/>
      <c r="V17" s="367"/>
      <c r="W17" s="368"/>
      <c r="X17" s="367"/>
      <c r="Y17" s="368"/>
      <c r="Z17" s="367"/>
      <c r="AA17" s="368"/>
      <c r="AB17" s="367"/>
      <c r="AC17" s="369"/>
      <c r="AD17" s="349"/>
      <c r="AE17" s="350"/>
      <c r="AF17" s="351"/>
      <c r="AG17" s="237"/>
    </row>
    <row r="18" spans="1:33" ht="15" customHeight="1" x14ac:dyDescent="0.2">
      <c r="A18" s="69" t="s">
        <v>30</v>
      </c>
      <c r="B18" s="20"/>
      <c r="C18" s="23"/>
      <c r="D18" s="5"/>
      <c r="E18" s="32"/>
      <c r="F18" s="49"/>
      <c r="G18" s="74"/>
      <c r="H18" s="49"/>
      <c r="I18" s="77"/>
      <c r="J18" s="49"/>
      <c r="K18" s="77"/>
      <c r="L18" s="49"/>
      <c r="M18" s="74"/>
      <c r="N18" s="367"/>
      <c r="O18" s="368"/>
      <c r="P18" s="367"/>
      <c r="Q18" s="368"/>
      <c r="R18" s="367"/>
      <c r="S18" s="368"/>
      <c r="T18" s="367"/>
      <c r="U18" s="368"/>
      <c r="V18" s="367"/>
      <c r="W18" s="368"/>
      <c r="X18" s="367"/>
      <c r="Y18" s="368"/>
      <c r="Z18" s="367"/>
      <c r="AA18" s="368"/>
      <c r="AB18" s="367"/>
      <c r="AC18" s="369"/>
      <c r="AD18" s="349"/>
      <c r="AE18" s="354"/>
      <c r="AF18" s="351"/>
      <c r="AG18" s="237"/>
    </row>
    <row r="19" spans="1:33" ht="24.75" thickBot="1" x14ac:dyDescent="0.25">
      <c r="A19" s="195" t="s">
        <v>31</v>
      </c>
      <c r="B19" s="196"/>
      <c r="C19" s="197"/>
      <c r="D19" s="138"/>
      <c r="E19" s="288"/>
      <c r="F19" s="198"/>
      <c r="G19" s="199"/>
      <c r="H19" s="13"/>
      <c r="I19" s="120"/>
      <c r="J19" s="300"/>
      <c r="K19" s="120"/>
      <c r="L19" s="300"/>
      <c r="M19" s="132"/>
      <c r="N19" s="444"/>
      <c r="O19" s="519"/>
      <c r="P19" s="444"/>
      <c r="Q19" s="519"/>
      <c r="R19" s="444"/>
      <c r="S19" s="519"/>
      <c r="T19" s="444"/>
      <c r="U19" s="519"/>
      <c r="V19" s="444"/>
      <c r="W19" s="519"/>
      <c r="X19" s="444"/>
      <c r="Y19" s="519"/>
      <c r="Z19" s="444"/>
      <c r="AA19" s="519"/>
      <c r="AB19" s="444"/>
      <c r="AC19" s="520"/>
      <c r="AD19" s="349"/>
      <c r="AE19" s="358"/>
      <c r="AF19" s="351"/>
      <c r="AG19" s="240"/>
    </row>
    <row r="20" spans="1:33" ht="18.75" customHeight="1" thickBot="1" x14ac:dyDescent="0.25">
      <c r="A20" s="205" t="s">
        <v>13</v>
      </c>
      <c r="B20" s="206"/>
      <c r="C20" s="207">
        <f>SUM(C17:C19)</f>
        <v>0</v>
      </c>
      <c r="D20" s="274"/>
      <c r="E20" s="291">
        <f>SUM(E17:E19)</f>
        <v>0</v>
      </c>
      <c r="F20" s="209"/>
      <c r="G20" s="210">
        <f>SUM(G17:G19)</f>
        <v>0</v>
      </c>
      <c r="H20" s="211"/>
      <c r="I20" s="212">
        <f>SUM(I17:I19)</f>
        <v>0</v>
      </c>
      <c r="J20" s="209"/>
      <c r="K20" s="212">
        <f>SUM(K17:K19)</f>
        <v>0</v>
      </c>
      <c r="L20" s="209"/>
      <c r="M20" s="210">
        <f>SUM(M17:M19)</f>
        <v>0</v>
      </c>
      <c r="N20" s="360"/>
      <c r="O20" s="361">
        <f>SUM(O17:O19)</f>
        <v>0</v>
      </c>
      <c r="P20" s="360"/>
      <c r="Q20" s="361">
        <f>SUM(Q17:Q19)</f>
        <v>0</v>
      </c>
      <c r="R20" s="360"/>
      <c r="S20" s="361">
        <f>SUM(S17:S19)</f>
        <v>0</v>
      </c>
      <c r="T20" s="360"/>
      <c r="U20" s="361">
        <f>SUM(U17:U19)</f>
        <v>0</v>
      </c>
      <c r="V20" s="360"/>
      <c r="W20" s="361">
        <f>SUM(W17:W19)</f>
        <v>0</v>
      </c>
      <c r="X20" s="360"/>
      <c r="Y20" s="361">
        <f>SUM(Y17:Y19)</f>
        <v>0</v>
      </c>
      <c r="Z20" s="360"/>
      <c r="AA20" s="361">
        <f>SUM(AA17:AA19)</f>
        <v>0</v>
      </c>
      <c r="AB20" s="360"/>
      <c r="AC20" s="362">
        <f>SUM(AC17:AC19)</f>
        <v>0</v>
      </c>
      <c r="AD20" s="349"/>
      <c r="AE20" s="363"/>
      <c r="AF20" s="364">
        <f t="shared" si="0"/>
        <v>0</v>
      </c>
      <c r="AG20" s="241"/>
    </row>
    <row r="21" spans="1:33" ht="18.75" customHeight="1" thickBot="1" x14ac:dyDescent="0.25">
      <c r="A21" s="226" t="s">
        <v>14</v>
      </c>
      <c r="B21" s="217"/>
      <c r="C21" s="218">
        <f>SUM(C15,C20)</f>
        <v>3344767</v>
      </c>
      <c r="D21" s="265"/>
      <c r="E21" s="287">
        <f>SUM(E15,E20)</f>
        <v>3990289</v>
      </c>
      <c r="F21" s="220"/>
      <c r="G21" s="221">
        <f>SUM(G15,G20)</f>
        <v>4160243</v>
      </c>
      <c r="H21" s="222"/>
      <c r="I21" s="223">
        <f>SUM(I15,I20)</f>
        <v>4423641</v>
      </c>
      <c r="J21" s="220"/>
      <c r="K21" s="223">
        <f>SUM(K15,K20)</f>
        <v>4514812</v>
      </c>
      <c r="L21" s="220"/>
      <c r="M21" s="221">
        <f>SUM(M15,M20)</f>
        <v>4718482</v>
      </c>
      <c r="N21" s="370"/>
      <c r="O21" s="371">
        <f>SUM(O15,O20)</f>
        <v>4772854</v>
      </c>
      <c r="P21" s="370"/>
      <c r="Q21" s="371">
        <f>SUM(Q15,Q20)</f>
        <v>4836667</v>
      </c>
      <c r="R21" s="370"/>
      <c r="S21" s="371">
        <f>SUM(S15,S20)</f>
        <v>4894980</v>
      </c>
      <c r="T21" s="370"/>
      <c r="U21" s="371">
        <f>SUM(U15,U20)</f>
        <v>5172481</v>
      </c>
      <c r="V21" s="370"/>
      <c r="W21" s="371">
        <f>SUM(W15,W20)</f>
        <v>5551945</v>
      </c>
      <c r="X21" s="370"/>
      <c r="Y21" s="371">
        <f>SUM(Y15,Y20)</f>
        <v>5695050</v>
      </c>
      <c r="Z21" s="370"/>
      <c r="AA21" s="371">
        <f>SUM(AA15,AA20)</f>
        <v>6033241</v>
      </c>
      <c r="AB21" s="370"/>
      <c r="AC21" s="372">
        <f>SUM(AC15,AC20)</f>
        <v>6133747</v>
      </c>
      <c r="AD21" s="349"/>
      <c r="AE21" s="373"/>
      <c r="AF21" s="374">
        <f t="shared" si="0"/>
        <v>5717292.7999999998</v>
      </c>
      <c r="AG21" s="242">
        <f t="shared" si="1"/>
        <v>0.18584234528846022</v>
      </c>
    </row>
    <row r="22" spans="1:33" ht="18" customHeight="1" thickBot="1" x14ac:dyDescent="0.25">
      <c r="A22" s="264" t="s">
        <v>38</v>
      </c>
      <c r="B22" s="566" t="s">
        <v>6</v>
      </c>
      <c r="C22" s="567"/>
      <c r="D22" s="568" t="s">
        <v>7</v>
      </c>
      <c r="E22" s="567"/>
      <c r="F22" s="550"/>
      <c r="G22" s="551"/>
      <c r="H22" s="550"/>
      <c r="I22" s="552"/>
      <c r="J22" s="550"/>
      <c r="K22" s="552"/>
      <c r="L22" s="550"/>
      <c r="M22" s="551"/>
      <c r="N22" s="531"/>
      <c r="O22" s="532"/>
      <c r="P22" s="531"/>
      <c r="Q22" s="532"/>
      <c r="R22" s="531"/>
      <c r="S22" s="532"/>
      <c r="T22" s="531"/>
      <c r="U22" s="532"/>
      <c r="V22" s="531"/>
      <c r="W22" s="532"/>
      <c r="X22" s="577"/>
      <c r="Y22" s="578"/>
      <c r="Z22" s="577"/>
      <c r="AA22" s="578"/>
      <c r="AB22" s="577"/>
      <c r="AC22" s="580"/>
      <c r="AD22" s="349"/>
      <c r="AE22" s="527"/>
      <c r="AF22" s="528"/>
      <c r="AG22" s="243"/>
    </row>
    <row r="23" spans="1:33" ht="15" customHeight="1" x14ac:dyDescent="0.2">
      <c r="A23" s="262" t="s">
        <v>41</v>
      </c>
      <c r="B23" s="24"/>
      <c r="C23" s="25">
        <f>617571+1773629</f>
        <v>2391200</v>
      </c>
      <c r="D23" s="6"/>
      <c r="E23" s="65">
        <v>2621787</v>
      </c>
      <c r="F23" s="56"/>
      <c r="G23" s="224">
        <v>2986534.94</v>
      </c>
      <c r="H23" s="45"/>
      <c r="I23" s="302">
        <v>3295067.28</v>
      </c>
      <c r="J23" s="56"/>
      <c r="K23" s="98">
        <f>2860046+3664+145503</f>
        <v>3009213</v>
      </c>
      <c r="L23" s="56"/>
      <c r="M23" s="224">
        <v>3147492</v>
      </c>
      <c r="N23" s="345"/>
      <c r="O23" s="463">
        <v>3374256</v>
      </c>
      <c r="P23" s="345"/>
      <c r="Q23" s="463">
        <v>3311842</v>
      </c>
      <c r="R23" s="345"/>
      <c r="S23" s="463">
        <v>3441807</v>
      </c>
      <c r="T23" s="345"/>
      <c r="U23" s="463">
        <v>2897091</v>
      </c>
      <c r="V23" s="345"/>
      <c r="W23" s="463">
        <v>3263470.86</v>
      </c>
      <c r="X23" s="404"/>
      <c r="Y23" s="464">
        <v>3191307</v>
      </c>
      <c r="Z23" s="404"/>
      <c r="AA23" s="464">
        <v>3339892</v>
      </c>
      <c r="AB23" s="404"/>
      <c r="AC23" s="465"/>
      <c r="AD23" s="349"/>
      <c r="AE23" s="350"/>
      <c r="AF23" s="351">
        <f>AVERAGE(U23,AA23,S23,W23,Y23)</f>
        <v>3226713.5719999997</v>
      </c>
      <c r="AG23" s="237">
        <f>+(AA23-S23)/S23</f>
        <v>-2.961089915849436E-2</v>
      </c>
    </row>
    <row r="24" spans="1:33" ht="15" customHeight="1" x14ac:dyDescent="0.2">
      <c r="A24" s="262" t="s">
        <v>39</v>
      </c>
      <c r="B24" s="27"/>
      <c r="C24" s="35"/>
      <c r="D24" s="9"/>
      <c r="E24" s="64"/>
      <c r="F24" s="27"/>
      <c r="G24" s="35">
        <v>2531197.5</v>
      </c>
      <c r="H24" s="27"/>
      <c r="I24" s="35">
        <v>2748645.760000003</v>
      </c>
      <c r="J24" s="27"/>
      <c r="K24" s="35">
        <v>2587801.4700000016</v>
      </c>
      <c r="L24" s="27"/>
      <c r="M24" s="35">
        <v>2530379.9500000007</v>
      </c>
      <c r="N24" s="425"/>
      <c r="O24" s="426">
        <v>3080109.3199999966</v>
      </c>
      <c r="P24" s="425"/>
      <c r="Q24" s="426">
        <v>3657749.6299999962</v>
      </c>
      <c r="R24" s="425"/>
      <c r="S24" s="426">
        <v>2766694.2800000017</v>
      </c>
      <c r="T24" s="425"/>
      <c r="U24" s="426">
        <v>4025672.870000001</v>
      </c>
      <c r="V24" s="425"/>
      <c r="W24" s="426">
        <v>3048649.6799999955</v>
      </c>
      <c r="X24" s="427"/>
      <c r="Y24" s="458">
        <v>3489948</v>
      </c>
      <c r="Z24" s="427"/>
      <c r="AA24" s="458">
        <v>4835518</v>
      </c>
      <c r="AB24" s="427"/>
      <c r="AC24" s="494"/>
      <c r="AD24" s="349"/>
      <c r="AE24" s="350"/>
      <c r="AF24" s="351">
        <f t="shared" ref="AF24:AF25" si="2">AVERAGE(U24,AA24,S24,W24,Y24)</f>
        <v>3633296.5659999996</v>
      </c>
      <c r="AG24" s="237">
        <f t="shared" ref="AG24:AG25" si="3">+(AA24-S24)/S24</f>
        <v>0.74776014645174205</v>
      </c>
    </row>
    <row r="25" spans="1:33" ht="15" customHeight="1" thickBot="1" x14ac:dyDescent="0.25">
      <c r="A25" s="263" t="s">
        <v>40</v>
      </c>
      <c r="B25" s="30"/>
      <c r="C25" s="139"/>
      <c r="D25" s="8"/>
      <c r="E25" s="155"/>
      <c r="F25" s="30"/>
      <c r="G25" s="139">
        <v>0</v>
      </c>
      <c r="H25" s="30"/>
      <c r="I25" s="139">
        <v>0</v>
      </c>
      <c r="J25" s="30"/>
      <c r="K25" s="139">
        <v>0</v>
      </c>
      <c r="L25" s="30"/>
      <c r="M25" s="139">
        <v>0</v>
      </c>
      <c r="N25" s="431"/>
      <c r="O25" s="432">
        <v>0</v>
      </c>
      <c r="P25" s="431"/>
      <c r="Q25" s="432">
        <v>78611.87</v>
      </c>
      <c r="R25" s="431"/>
      <c r="S25" s="432">
        <v>90339.54</v>
      </c>
      <c r="T25" s="431"/>
      <c r="U25" s="432">
        <v>11564.96</v>
      </c>
      <c r="V25" s="431"/>
      <c r="W25" s="432">
        <v>22505.99</v>
      </c>
      <c r="X25" s="433"/>
      <c r="Y25" s="461">
        <v>2400</v>
      </c>
      <c r="Z25" s="433"/>
      <c r="AA25" s="461">
        <v>4810</v>
      </c>
      <c r="AB25" s="433"/>
      <c r="AC25" s="515"/>
      <c r="AD25" s="349"/>
      <c r="AE25" s="386"/>
      <c r="AF25" s="351">
        <f t="shared" si="2"/>
        <v>26324.097999999998</v>
      </c>
      <c r="AG25" s="237">
        <f t="shared" si="3"/>
        <v>-0.9467564258131046</v>
      </c>
    </row>
    <row r="26" spans="1:33" ht="18" customHeight="1" thickTop="1" x14ac:dyDescent="0.2">
      <c r="A26" s="119" t="s">
        <v>52</v>
      </c>
      <c r="B26" s="142" t="s">
        <v>18</v>
      </c>
      <c r="C26" s="143" t="s">
        <v>19</v>
      </c>
      <c r="D26" s="144" t="s">
        <v>18</v>
      </c>
      <c r="E26" s="156" t="s">
        <v>19</v>
      </c>
      <c r="F26" s="184" t="s">
        <v>18</v>
      </c>
      <c r="G26" s="185" t="s">
        <v>19</v>
      </c>
      <c r="H26" s="190" t="s">
        <v>18</v>
      </c>
      <c r="I26" s="331" t="s">
        <v>19</v>
      </c>
      <c r="J26" s="184" t="s">
        <v>18</v>
      </c>
      <c r="K26" s="331" t="s">
        <v>19</v>
      </c>
      <c r="L26" s="184" t="s">
        <v>18</v>
      </c>
      <c r="M26" s="185" t="s">
        <v>19</v>
      </c>
      <c r="N26" s="485" t="s">
        <v>18</v>
      </c>
      <c r="O26" s="497" t="s">
        <v>19</v>
      </c>
      <c r="P26" s="485" t="s">
        <v>18</v>
      </c>
      <c r="Q26" s="497" t="s">
        <v>19</v>
      </c>
      <c r="R26" s="485" t="s">
        <v>18</v>
      </c>
      <c r="S26" s="497" t="s">
        <v>19</v>
      </c>
      <c r="T26" s="485" t="s">
        <v>18</v>
      </c>
      <c r="U26" s="497" t="s">
        <v>19</v>
      </c>
      <c r="V26" s="485" t="s">
        <v>18</v>
      </c>
      <c r="W26" s="497" t="s">
        <v>19</v>
      </c>
      <c r="X26" s="487" t="s">
        <v>18</v>
      </c>
      <c r="Y26" s="488" t="s">
        <v>19</v>
      </c>
      <c r="Z26" s="487" t="s">
        <v>18</v>
      </c>
      <c r="AA26" s="488" t="s">
        <v>19</v>
      </c>
      <c r="AB26" s="487" t="s">
        <v>18</v>
      </c>
      <c r="AC26" s="489" t="s">
        <v>19</v>
      </c>
      <c r="AD26" s="349"/>
      <c r="AE26" s="392" t="s">
        <v>18</v>
      </c>
      <c r="AF26" s="393" t="s">
        <v>19</v>
      </c>
      <c r="AG26" s="244" t="s">
        <v>47</v>
      </c>
    </row>
    <row r="27" spans="1:33" ht="15" customHeight="1" x14ac:dyDescent="0.2">
      <c r="A27" s="69" t="s">
        <v>53</v>
      </c>
      <c r="B27" s="63">
        <v>41</v>
      </c>
      <c r="C27" s="82">
        <v>3477146</v>
      </c>
      <c r="D27" s="113">
        <v>46</v>
      </c>
      <c r="E27" s="83">
        <v>5812689</v>
      </c>
      <c r="F27" s="186">
        <v>50</v>
      </c>
      <c r="G27" s="259">
        <v>5732143</v>
      </c>
      <c r="H27" s="186">
        <v>42</v>
      </c>
      <c r="I27" s="255">
        <v>6044712</v>
      </c>
      <c r="J27" s="186">
        <v>45</v>
      </c>
      <c r="K27" s="255">
        <v>5493875</v>
      </c>
      <c r="L27" s="186">
        <v>34</v>
      </c>
      <c r="M27" s="255">
        <v>6834974</v>
      </c>
      <c r="N27" s="394">
        <v>42</v>
      </c>
      <c r="O27" s="441">
        <v>7272635</v>
      </c>
      <c r="P27" s="394">
        <v>42</v>
      </c>
      <c r="Q27" s="441">
        <v>9507745</v>
      </c>
      <c r="R27" s="394">
        <v>47</v>
      </c>
      <c r="S27" s="441">
        <v>6784796</v>
      </c>
      <c r="T27" s="394">
        <v>57</v>
      </c>
      <c r="U27" s="441">
        <v>9636286</v>
      </c>
      <c r="V27" s="394">
        <v>68</v>
      </c>
      <c r="W27" s="441">
        <v>16136742</v>
      </c>
      <c r="X27" s="394">
        <v>45</v>
      </c>
      <c r="Y27" s="441">
        <v>11527612</v>
      </c>
      <c r="Z27" s="394">
        <v>73</v>
      </c>
      <c r="AA27" s="441">
        <v>14513676</v>
      </c>
      <c r="AB27" s="396"/>
      <c r="AC27" s="442"/>
      <c r="AD27" s="349"/>
      <c r="AE27" s="283">
        <f>AVERAGE(T27,R27,Z27,X27,V27)</f>
        <v>58</v>
      </c>
      <c r="AF27" s="351">
        <f t="shared" ref="AF27:AF28" si="4">AVERAGE(U27,AA27,S27,W27,Y27)</f>
        <v>11719822.4</v>
      </c>
      <c r="AG27" s="237">
        <f t="shared" ref="AG27:AG28" si="5">+(AA27-S27)/S27</f>
        <v>1.139146998671736</v>
      </c>
    </row>
    <row r="28" spans="1:33" ht="15" customHeight="1" thickBot="1" x14ac:dyDescent="0.25">
      <c r="A28" s="71" t="s">
        <v>54</v>
      </c>
      <c r="B28" s="148">
        <v>25</v>
      </c>
      <c r="C28" s="34">
        <v>1375833</v>
      </c>
      <c r="D28" s="157">
        <v>28</v>
      </c>
      <c r="E28" s="51">
        <v>4014173</v>
      </c>
      <c r="F28" s="324">
        <v>28</v>
      </c>
      <c r="G28" s="261">
        <v>3463464</v>
      </c>
      <c r="H28" s="188">
        <v>30</v>
      </c>
      <c r="I28" s="189">
        <v>3155054</v>
      </c>
      <c r="J28" s="188">
        <v>21</v>
      </c>
      <c r="K28" s="189">
        <v>2787676</v>
      </c>
      <c r="L28" s="188">
        <v>13</v>
      </c>
      <c r="M28" s="189">
        <v>3378903</v>
      </c>
      <c r="N28" s="311">
        <v>16</v>
      </c>
      <c r="O28" s="399">
        <v>1866639</v>
      </c>
      <c r="P28" s="311">
        <v>25</v>
      </c>
      <c r="Q28" s="399">
        <v>3376890</v>
      </c>
      <c r="R28" s="311">
        <v>29</v>
      </c>
      <c r="S28" s="399">
        <v>3549961</v>
      </c>
      <c r="T28" s="311">
        <v>19</v>
      </c>
      <c r="U28" s="399">
        <v>2029180</v>
      </c>
      <c r="V28" s="311">
        <v>18</v>
      </c>
      <c r="W28" s="399">
        <v>2245934</v>
      </c>
      <c r="X28" s="311">
        <v>36</v>
      </c>
      <c r="Y28" s="399">
        <v>3694879</v>
      </c>
      <c r="Z28" s="311">
        <v>42</v>
      </c>
      <c r="AA28" s="399">
        <v>5303479</v>
      </c>
      <c r="AB28" s="400"/>
      <c r="AC28" s="443"/>
      <c r="AD28" s="349"/>
      <c r="AE28" s="283">
        <f>AVERAGE(T28,R28,Z28,X28,V28)</f>
        <v>28.8</v>
      </c>
      <c r="AF28" s="411">
        <f t="shared" si="4"/>
        <v>3364686.6</v>
      </c>
      <c r="AG28" s="237">
        <f t="shared" si="5"/>
        <v>0.49395415893301364</v>
      </c>
    </row>
    <row r="29" spans="1:33" ht="18" customHeight="1" thickTop="1" thickBot="1" x14ac:dyDescent="0.25">
      <c r="A29" s="119" t="s">
        <v>15</v>
      </c>
      <c r="B29" s="545" t="s">
        <v>6</v>
      </c>
      <c r="C29" s="546"/>
      <c r="D29" s="558" t="s">
        <v>7</v>
      </c>
      <c r="E29" s="546"/>
      <c r="F29" s="553"/>
      <c r="G29" s="554"/>
      <c r="H29" s="553"/>
      <c r="I29" s="555"/>
      <c r="J29" s="553"/>
      <c r="K29" s="555"/>
      <c r="L29" s="553"/>
      <c r="M29" s="554"/>
      <c r="N29" s="533"/>
      <c r="O29" s="534"/>
      <c r="P29" s="533"/>
      <c r="Q29" s="534"/>
      <c r="R29" s="533"/>
      <c r="S29" s="534"/>
      <c r="T29" s="533"/>
      <c r="U29" s="534"/>
      <c r="V29" s="533"/>
      <c r="W29" s="534"/>
      <c r="X29" s="537"/>
      <c r="Y29" s="579"/>
      <c r="Z29" s="537"/>
      <c r="AA29" s="579"/>
      <c r="AB29" s="537"/>
      <c r="AC29" s="538"/>
      <c r="AD29" s="349"/>
      <c r="AE29" s="529"/>
      <c r="AF29" s="530"/>
      <c r="AG29" s="342"/>
    </row>
    <row r="30" spans="1:33" ht="15" customHeight="1" x14ac:dyDescent="0.2">
      <c r="A30" s="70" t="s">
        <v>16</v>
      </c>
      <c r="B30" s="28"/>
      <c r="C30" s="33">
        <v>59167.199999999997</v>
      </c>
      <c r="D30" s="7"/>
      <c r="E30" s="50">
        <v>250513.32</v>
      </c>
      <c r="F30" s="56"/>
      <c r="G30" s="103">
        <v>594610.69999999995</v>
      </c>
      <c r="H30" s="85"/>
      <c r="I30" s="105">
        <v>486135.57</v>
      </c>
      <c r="J30" s="56"/>
      <c r="K30" s="105">
        <v>254359.77</v>
      </c>
      <c r="L30" s="56"/>
      <c r="M30" s="131">
        <v>267848</v>
      </c>
      <c r="N30" s="345"/>
      <c r="O30" s="445">
        <v>162982</v>
      </c>
      <c r="P30" s="345"/>
      <c r="Q30" s="445">
        <v>326710.19</v>
      </c>
      <c r="R30" s="345"/>
      <c r="S30" s="445">
        <v>440263.89</v>
      </c>
      <c r="T30" s="345"/>
      <c r="U30" s="445">
        <v>564169.25</v>
      </c>
      <c r="V30" s="345"/>
      <c r="W30" s="445">
        <v>660836.06000000006</v>
      </c>
      <c r="X30" s="404"/>
      <c r="Y30" s="447">
        <v>1285318.49</v>
      </c>
      <c r="Z30" s="404"/>
      <c r="AA30" s="447">
        <v>563980</v>
      </c>
      <c r="AB30" s="404"/>
      <c r="AC30" s="448"/>
      <c r="AD30" s="349"/>
      <c r="AE30" s="350"/>
      <c r="AF30" s="406">
        <f t="shared" ref="AF30:AF31" si="6">AVERAGE(U30,AA30,S30,W30,Y30)</f>
        <v>702913.53800000006</v>
      </c>
      <c r="AG30" s="245">
        <f t="shared" ref="AG30:AG31" si="7">+(AA30-S30)/S30</f>
        <v>0.28100444485692427</v>
      </c>
    </row>
    <row r="31" spans="1:33" ht="15" customHeight="1" thickBot="1" x14ac:dyDescent="0.25">
      <c r="A31" s="71" t="s">
        <v>17</v>
      </c>
      <c r="B31" s="30"/>
      <c r="C31" s="34">
        <v>0</v>
      </c>
      <c r="D31" s="8"/>
      <c r="E31" s="58">
        <v>0</v>
      </c>
      <c r="F31" s="57"/>
      <c r="G31" s="58">
        <v>0</v>
      </c>
      <c r="H31" s="57"/>
      <c r="I31" s="58">
        <v>0</v>
      </c>
      <c r="J31" s="57"/>
      <c r="K31" s="58">
        <v>0</v>
      </c>
      <c r="L31" s="57"/>
      <c r="M31" s="75">
        <v>0</v>
      </c>
      <c r="N31" s="449"/>
      <c r="O31" s="476">
        <v>0</v>
      </c>
      <c r="P31" s="449"/>
      <c r="Q31" s="476">
        <v>164551.60999999999</v>
      </c>
      <c r="R31" s="449"/>
      <c r="S31" s="476">
        <v>352648.99</v>
      </c>
      <c r="T31" s="449"/>
      <c r="U31" s="476">
        <v>640819.37</v>
      </c>
      <c r="V31" s="449"/>
      <c r="W31" s="476">
        <v>1150275.8999999999</v>
      </c>
      <c r="X31" s="433"/>
      <c r="Y31" s="477">
        <v>1373698.91</v>
      </c>
      <c r="Z31" s="433"/>
      <c r="AA31" s="477">
        <v>1327865</v>
      </c>
      <c r="AB31" s="433"/>
      <c r="AC31" s="478"/>
      <c r="AD31" s="349"/>
      <c r="AE31" s="386"/>
      <c r="AF31" s="411">
        <f t="shared" si="6"/>
        <v>969061.63399999996</v>
      </c>
      <c r="AG31" s="247">
        <f t="shared" si="7"/>
        <v>2.765401398143803</v>
      </c>
    </row>
    <row r="32" spans="1:33" ht="13.5" thickTop="1" x14ac:dyDescent="0.2"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</row>
    <row r="33" spans="14:32" x14ac:dyDescent="0.2"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F9:G9"/>
    <mergeCell ref="H9:I9"/>
    <mergeCell ref="B9:C9"/>
    <mergeCell ref="D9:E9"/>
    <mergeCell ref="AE9:AF9"/>
    <mergeCell ref="V9:W9"/>
    <mergeCell ref="R9:S9"/>
    <mergeCell ref="N9:O9"/>
    <mergeCell ref="X9:Y9"/>
    <mergeCell ref="Z9:AA9"/>
    <mergeCell ref="P9:Q9"/>
    <mergeCell ref="T9:U9"/>
    <mergeCell ref="J9:K9"/>
    <mergeCell ref="L9:M9"/>
    <mergeCell ref="AB9:AC9"/>
  </mergeCells>
  <phoneticPr fontId="0" type="noConversion"/>
  <printOptions horizontalCentered="1" verticalCentered="1"/>
  <pageMargins left="0.37" right="0.5" top="0.25" bottom="1.08" header="0.5" footer="0.25"/>
  <pageSetup scale="82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Dean_Eng</vt:lpstr>
      <vt:lpstr>ArchitectConst</vt:lpstr>
      <vt:lpstr>BAE</vt:lpstr>
      <vt:lpstr>Chemical</vt:lpstr>
      <vt:lpstr>Civil</vt:lpstr>
      <vt:lpstr>Comp_Sci</vt:lpstr>
      <vt:lpstr>Elec</vt:lpstr>
      <vt:lpstr>Industrial</vt:lpstr>
      <vt:lpstr>Mech</vt:lpstr>
      <vt:lpstr>Summary</vt:lpstr>
      <vt:lpstr>ArchitectConst!Print_Area</vt:lpstr>
      <vt:lpstr>BAE!Print_Area</vt:lpstr>
      <vt:lpstr>Chemical!Print_Area</vt:lpstr>
      <vt:lpstr>Civil!Print_Area</vt:lpstr>
      <vt:lpstr>Comp_Sci!Print_Area</vt:lpstr>
      <vt:lpstr>Dean_Eng!Print_Area</vt:lpstr>
      <vt:lpstr>Elec!Print_Area</vt:lpstr>
      <vt:lpstr>Industrial!Print_Area</vt:lpstr>
      <vt:lpstr>Mech!Print_Area</vt:lpstr>
      <vt:lpstr>Summary!Print_Area</vt:lpstr>
      <vt:lpstr>ArchitectConst!Print_Titles</vt:lpstr>
      <vt:lpstr>BAE!Print_Titles</vt:lpstr>
      <vt:lpstr>Chemical!Print_Titles</vt:lpstr>
      <vt:lpstr>Civil!Print_Titles</vt:lpstr>
      <vt:lpstr>Comp_Sci!Print_Titles</vt:lpstr>
      <vt:lpstr>Dean_Eng!Print_Titles</vt:lpstr>
      <vt:lpstr>Elec!Print_Titles</vt:lpstr>
      <vt:lpstr>Industrial!Print_Titles</vt:lpstr>
      <vt:lpstr>Mech!Print_Titles</vt:lpstr>
      <vt:lpstr>Summary!Print_Titles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2016-11-09T19:51:40Z</cp:lastPrinted>
  <dcterms:created xsi:type="dcterms:W3CDTF">1998-07-17T17:18:52Z</dcterms:created>
  <dcterms:modified xsi:type="dcterms:W3CDTF">2016-11-09T19:51:49Z</dcterms:modified>
</cp:coreProperties>
</file>