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jbaker\Documents\PA\deptprofiles\"/>
    </mc:Choice>
  </mc:AlternateContent>
  <bookViews>
    <workbookView xWindow="0" yWindow="0" windowWidth="25200" windowHeight="11385" tabRatio="864" firstSheet="9" activeTab="9"/>
  </bookViews>
  <sheets>
    <sheet name="Dean's Office " sheetId="34" state="hidden" r:id="rId1"/>
    <sheet name="Arch Eng Cons Science" sheetId="4" state="hidden" r:id="rId2"/>
    <sheet name="Bio Ag Engineering " sheetId="26" state="hidden" r:id="rId3"/>
    <sheet name="Chemical " sheetId="5" state="hidden" r:id="rId4"/>
    <sheet name="Civil" sheetId="29" state="hidden" r:id="rId5"/>
    <sheet name="Computer Science" sheetId="30" state="hidden" r:id="rId6"/>
    <sheet name="Electrical  Computer" sheetId="31" state="hidden" r:id="rId7"/>
    <sheet name="Industrial Manu" sheetId="32" state="hidden" r:id="rId8"/>
    <sheet name="Mechanical Nuclear" sheetId="33" state="hidden" r:id="rId9"/>
    <sheet name="Engineering  Summary" sheetId="25" r:id="rId10"/>
  </sheets>
  <definedNames>
    <definedName name="_xlnm.Print_Area" localSheetId="1">'Arch Eng Cons Science'!$A$8:$X$78</definedName>
    <definedName name="_xlnm.Print_Area" localSheetId="2">'Bio Ag Engineering '!$A$9:$X$77</definedName>
    <definedName name="_xlnm.Print_Area" localSheetId="3">'Chemical '!$A$9:$X$76</definedName>
    <definedName name="_xlnm.Print_Area" localSheetId="4">Civil!$A$8:$X$77</definedName>
    <definedName name="_xlnm.Print_Area" localSheetId="5">'Computer Science'!$A$9:$X$87</definedName>
    <definedName name="_xlnm.Print_Area" localSheetId="0">'Dean''s Office '!$A$9:$X$58</definedName>
    <definedName name="_xlnm.Print_Area" localSheetId="6">'Electrical  Computer'!$A$8:$X$87</definedName>
    <definedName name="_xlnm.Print_Area" localSheetId="9">'Engineering  Summary'!$A$1:$U$70</definedName>
    <definedName name="_xlnm.Print_Area" localSheetId="7">'Industrial Manu'!$A$8:$X$87</definedName>
    <definedName name="_xlnm.Print_Area" localSheetId="8">'Mechanical Nuclear'!$A$8:$X$83</definedName>
    <definedName name="_xlnm.Print_Titles" localSheetId="1">'Arch Eng Cons Science'!$A:$A,'Arch Eng Cons Science'!$1:$7</definedName>
    <definedName name="_xlnm.Print_Titles" localSheetId="2">'Bio Ag Engineering '!$A:$A,'Bio Ag Engineering '!$1:$7</definedName>
    <definedName name="_xlnm.Print_Titles" localSheetId="3">'Chemical '!$A:$A,'Chemical '!$1:$8</definedName>
    <definedName name="_xlnm.Print_Titles" localSheetId="4">Civil!$A:$A,Civil!$1:$7</definedName>
    <definedName name="_xlnm.Print_Titles" localSheetId="5">'Computer Science'!$A:$A,'Computer Science'!$1:$7</definedName>
    <definedName name="_xlnm.Print_Titles" localSheetId="0">'Dean''s Office '!$A:$A,'Dean''s Office '!$1:$7</definedName>
    <definedName name="_xlnm.Print_Titles" localSheetId="6">'Electrical  Computer'!$A:$A,'Electrical  Computer'!$1:$7</definedName>
    <definedName name="_xlnm.Print_Titles" localSheetId="7">'Industrial Manu'!$A:$A,'Industrial Manu'!$1:$7</definedName>
    <definedName name="_xlnm.Print_Titles" localSheetId="8">'Mechanical Nuclear'!$A:$A,'Mechanical Nuclear'!$1:$7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8" i="33" l="1"/>
  <c r="X41" i="32"/>
  <c r="X43" i="31"/>
  <c r="X43" i="30"/>
  <c r="X36" i="29"/>
  <c r="W36" i="29"/>
  <c r="X35" i="29"/>
  <c r="X34" i="29"/>
  <c r="X36" i="5"/>
  <c r="W36" i="5"/>
  <c r="X35" i="5"/>
  <c r="X34" i="5"/>
  <c r="X36" i="26"/>
  <c r="W36" i="26"/>
  <c r="X35" i="26"/>
  <c r="X34" i="26"/>
  <c r="X39" i="4"/>
  <c r="W39" i="4"/>
  <c r="X38" i="4"/>
  <c r="X37" i="4"/>
  <c r="X25" i="34"/>
  <c r="W25" i="34"/>
  <c r="X24" i="34"/>
  <c r="X23" i="34"/>
  <c r="T36" i="29"/>
  <c r="T12" i="4" l="1"/>
  <c r="X27" i="26" l="1"/>
  <c r="W15" i="26" l="1"/>
  <c r="T13" i="25"/>
  <c r="T14" i="25"/>
  <c r="S13" i="25"/>
  <c r="X15" i="26"/>
  <c r="F18" i="25" l="1"/>
  <c r="G18" i="25"/>
  <c r="H18" i="25"/>
  <c r="I18" i="25"/>
  <c r="J18" i="25"/>
  <c r="K18" i="25"/>
  <c r="L18" i="25"/>
  <c r="M18" i="25"/>
  <c r="N18" i="25"/>
  <c r="O18" i="25"/>
  <c r="P18" i="25"/>
  <c r="Q18" i="25"/>
  <c r="S18" i="25"/>
  <c r="B11" i="25"/>
  <c r="C11" i="25"/>
  <c r="B12" i="25"/>
  <c r="C12" i="25"/>
  <c r="B14" i="25"/>
  <c r="C14" i="25"/>
  <c r="B15" i="25"/>
  <c r="C15" i="25"/>
  <c r="B16" i="25"/>
  <c r="C16" i="25"/>
  <c r="B17" i="25"/>
  <c r="B18" i="25"/>
  <c r="C18" i="25"/>
  <c r="C25" i="25"/>
  <c r="C26" i="25"/>
  <c r="C27" i="25"/>
  <c r="C28" i="25"/>
  <c r="C38" i="25"/>
  <c r="C39" i="25"/>
  <c r="C40" i="25"/>
  <c r="C43" i="25"/>
  <c r="C44" i="25"/>
  <c r="C45" i="25"/>
  <c r="C46" i="25"/>
  <c r="C47" i="25"/>
  <c r="B51" i="25"/>
  <c r="B52" i="25"/>
  <c r="B53" i="25"/>
  <c r="B54" i="25"/>
  <c r="B55" i="25"/>
  <c r="B56" i="25"/>
  <c r="B57" i="25"/>
  <c r="B58" i="25"/>
  <c r="B60" i="25"/>
  <c r="B61" i="25"/>
  <c r="B63" i="25"/>
  <c r="B64" i="25"/>
  <c r="B65" i="25"/>
  <c r="B67" i="25"/>
  <c r="B68" i="25"/>
  <c r="B69" i="25"/>
  <c r="B70" i="25"/>
  <c r="X50" i="33"/>
  <c r="W42" i="33"/>
  <c r="X31" i="33"/>
  <c r="X29" i="33"/>
  <c r="X35" i="33"/>
  <c r="X34" i="33"/>
  <c r="X33" i="33"/>
  <c r="X32" i="33"/>
  <c r="X26" i="33"/>
  <c r="X25" i="33"/>
  <c r="X22" i="33"/>
  <c r="X21" i="33"/>
  <c r="X20" i="33"/>
  <c r="X18" i="33"/>
  <c r="X17" i="33"/>
  <c r="X16" i="33"/>
  <c r="X15" i="33"/>
  <c r="X15" i="32"/>
  <c r="X53" i="32"/>
  <c r="W45" i="32"/>
  <c r="X32" i="32"/>
  <c r="X38" i="32"/>
  <c r="X37" i="32"/>
  <c r="X36" i="32"/>
  <c r="X35" i="32"/>
  <c r="X34" i="32"/>
  <c r="X29" i="32"/>
  <c r="X28" i="32"/>
  <c r="X25" i="32"/>
  <c r="X24" i="32"/>
  <c r="X22" i="32"/>
  <c r="X21" i="32"/>
  <c r="X19" i="32"/>
  <c r="X17" i="32"/>
  <c r="X16" i="32"/>
  <c r="X53" i="31"/>
  <c r="W47" i="31"/>
  <c r="X33" i="31"/>
  <c r="X40" i="31"/>
  <c r="X39" i="31"/>
  <c r="X38" i="31"/>
  <c r="X37" i="31"/>
  <c r="X36" i="31"/>
  <c r="X30" i="31"/>
  <c r="X29" i="31"/>
  <c r="X28" i="31"/>
  <c r="X27" i="31"/>
  <c r="X24" i="31"/>
  <c r="X23" i="31"/>
  <c r="X22" i="31"/>
  <c r="X21" i="31"/>
  <c r="X17" i="31"/>
  <c r="X16" i="31"/>
  <c r="X15" i="31"/>
  <c r="X54" i="30"/>
  <c r="W47" i="30"/>
  <c r="X33" i="30"/>
  <c r="X40" i="30"/>
  <c r="X39" i="30"/>
  <c r="X38" i="30"/>
  <c r="X37" i="30"/>
  <c r="X36" i="30"/>
  <c r="X30" i="30"/>
  <c r="X29" i="30"/>
  <c r="X28" i="30"/>
  <c r="X27" i="30"/>
  <c r="X24" i="30"/>
  <c r="X20" i="30"/>
  <c r="X18" i="30"/>
  <c r="X17" i="30"/>
  <c r="X16" i="30"/>
  <c r="X15" i="30"/>
  <c r="X44" i="29"/>
  <c r="W38" i="29"/>
  <c r="X31" i="29"/>
  <c r="X30" i="29"/>
  <c r="X29" i="29"/>
  <c r="X28" i="29"/>
  <c r="X27" i="29"/>
  <c r="X22" i="29"/>
  <c r="X21" i="29"/>
  <c r="X18" i="29"/>
  <c r="X17" i="29"/>
  <c r="X16" i="29"/>
  <c r="X15" i="29"/>
  <c r="X14" i="29"/>
  <c r="X44" i="5"/>
  <c r="W38" i="5"/>
  <c r="X31" i="5"/>
  <c r="X30" i="5"/>
  <c r="X29" i="5"/>
  <c r="X28" i="5"/>
  <c r="X27" i="5"/>
  <c r="X22" i="5"/>
  <c r="X21" i="5"/>
  <c r="X18" i="5"/>
  <c r="X17" i="5"/>
  <c r="X16" i="5"/>
  <c r="X15" i="5"/>
  <c r="X14" i="5"/>
  <c r="W49" i="26"/>
  <c r="X44" i="26"/>
  <c r="W38" i="26"/>
  <c r="X30" i="26"/>
  <c r="X29" i="26"/>
  <c r="X28" i="26"/>
  <c r="X25" i="26"/>
  <c r="X22" i="26"/>
  <c r="X21" i="26"/>
  <c r="X18" i="26"/>
  <c r="X17" i="26"/>
  <c r="X14" i="26"/>
  <c r="W12" i="26"/>
  <c r="X46" i="4"/>
  <c r="W41" i="4"/>
  <c r="X34" i="4"/>
  <c r="X32" i="4"/>
  <c r="X31" i="4"/>
  <c r="X30" i="4"/>
  <c r="X27" i="4"/>
  <c r="X25" i="4"/>
  <c r="X24" i="4"/>
  <c r="X23" i="4"/>
  <c r="X22" i="4"/>
  <c r="X19" i="4"/>
  <c r="X15" i="4"/>
  <c r="X14" i="4"/>
  <c r="W13" i="34"/>
  <c r="W30" i="34"/>
  <c r="X17" i="34"/>
  <c r="X16" i="34"/>
  <c r="C29" i="25" l="1"/>
  <c r="C48" i="25"/>
  <c r="W45" i="33"/>
  <c r="W44" i="33"/>
  <c r="W43" i="33"/>
  <c r="X39" i="33"/>
  <c r="W40" i="33" s="1"/>
  <c r="X24" i="33"/>
  <c r="W22" i="33"/>
  <c r="W21" i="33"/>
  <c r="W20" i="33"/>
  <c r="W18" i="33"/>
  <c r="W17" i="33"/>
  <c r="W16" i="33"/>
  <c r="W14" i="33"/>
  <c r="W13" i="33"/>
  <c r="W25" i="32"/>
  <c r="W24" i="32"/>
  <c r="W22" i="32"/>
  <c r="W21" i="32"/>
  <c r="W19" i="32"/>
  <c r="W17" i="32"/>
  <c r="W16" i="32"/>
  <c r="W14" i="32"/>
  <c r="W13" i="32"/>
  <c r="X27" i="32"/>
  <c r="X42" i="32"/>
  <c r="W43" i="32" s="1"/>
  <c r="W48" i="32"/>
  <c r="W47" i="32"/>
  <c r="W46" i="32"/>
  <c r="W24" i="31"/>
  <c r="W23" i="31"/>
  <c r="W22" i="31"/>
  <c r="W20" i="31"/>
  <c r="W19" i="31"/>
  <c r="W17" i="31"/>
  <c r="W16" i="31"/>
  <c r="W14" i="31"/>
  <c r="W13" i="31"/>
  <c r="X26" i="31"/>
  <c r="X34" i="31"/>
  <c r="X44" i="31"/>
  <c r="W48" i="31"/>
  <c r="W49" i="30"/>
  <c r="W48" i="30"/>
  <c r="X44" i="30"/>
  <c r="X34" i="30"/>
  <c r="W23" i="30"/>
  <c r="W22" i="30"/>
  <c r="W20" i="30"/>
  <c r="W18" i="30"/>
  <c r="W17" i="30"/>
  <c r="W16" i="30"/>
  <c r="W14" i="30"/>
  <c r="W13" i="30"/>
  <c r="X31" i="31"/>
  <c r="X31" i="30"/>
  <c r="X27" i="33"/>
  <c r="X30" i="32"/>
  <c r="X26" i="30"/>
  <c r="W39" i="29"/>
  <c r="X23" i="29"/>
  <c r="X20" i="29"/>
  <c r="W18" i="29"/>
  <c r="W17" i="29"/>
  <c r="W16" i="29"/>
  <c r="W15" i="29"/>
  <c r="W13" i="29"/>
  <c r="W12" i="29"/>
  <c r="W39" i="5"/>
  <c r="X25" i="5"/>
  <c r="X23" i="5"/>
  <c r="X20" i="5"/>
  <c r="W18" i="5"/>
  <c r="W17" i="5"/>
  <c r="W16" i="5"/>
  <c r="W15" i="5"/>
  <c r="W13" i="5"/>
  <c r="W12" i="5"/>
  <c r="W39" i="26"/>
  <c r="W18" i="26"/>
  <c r="W17" i="26"/>
  <c r="W13" i="26"/>
  <c r="X28" i="4"/>
  <c r="X21" i="4"/>
  <c r="W18" i="4"/>
  <c r="W17" i="4"/>
  <c r="W15" i="4"/>
  <c r="W13" i="4"/>
  <c r="W12" i="4"/>
  <c r="X31" i="34"/>
  <c r="X30" i="34"/>
  <c r="W31" i="34"/>
  <c r="W14" i="34"/>
  <c r="X82" i="33" l="1"/>
  <c r="W82" i="33"/>
  <c r="X81" i="33"/>
  <c r="W81" i="33"/>
  <c r="X80" i="33"/>
  <c r="W80" i="33"/>
  <c r="X79" i="33"/>
  <c r="W79" i="33"/>
  <c r="X77" i="33"/>
  <c r="W77" i="33"/>
  <c r="X76" i="33"/>
  <c r="W76" i="33"/>
  <c r="X75" i="33"/>
  <c r="W75" i="33"/>
  <c r="X73" i="33"/>
  <c r="W73" i="33"/>
  <c r="X72" i="33"/>
  <c r="W72" i="33"/>
  <c r="X70" i="33"/>
  <c r="W70" i="33"/>
  <c r="X69" i="33"/>
  <c r="W69" i="33"/>
  <c r="X68" i="33"/>
  <c r="W68" i="33"/>
  <c r="X67" i="33"/>
  <c r="W67" i="33"/>
  <c r="X66" i="33"/>
  <c r="W66" i="33"/>
  <c r="X65" i="33"/>
  <c r="W65" i="33"/>
  <c r="X64" i="33"/>
  <c r="W64" i="33"/>
  <c r="X63" i="33"/>
  <c r="W63" i="33"/>
  <c r="X59" i="33"/>
  <c r="W59" i="33"/>
  <c r="X58" i="33"/>
  <c r="W58" i="33"/>
  <c r="X56" i="33"/>
  <c r="W56" i="33"/>
  <c r="X55" i="33"/>
  <c r="W55" i="33"/>
  <c r="X52" i="33"/>
  <c r="X51" i="33"/>
  <c r="X85" i="32"/>
  <c r="W85" i="32"/>
  <c r="X84" i="32"/>
  <c r="W84" i="32"/>
  <c r="X83" i="32"/>
  <c r="W83" i="32"/>
  <c r="X82" i="32"/>
  <c r="W82" i="32"/>
  <c r="X80" i="32"/>
  <c r="W80" i="32"/>
  <c r="X79" i="32"/>
  <c r="W79" i="32"/>
  <c r="X78" i="32"/>
  <c r="W78" i="32"/>
  <c r="X76" i="32"/>
  <c r="W76" i="32"/>
  <c r="X75" i="32"/>
  <c r="W75" i="32"/>
  <c r="X73" i="32"/>
  <c r="W73" i="32"/>
  <c r="X72" i="32"/>
  <c r="W72" i="32"/>
  <c r="X71" i="32"/>
  <c r="W71" i="32"/>
  <c r="X70" i="32"/>
  <c r="W70" i="32"/>
  <c r="X69" i="32"/>
  <c r="W69" i="32"/>
  <c r="X68" i="32"/>
  <c r="W68" i="32"/>
  <c r="X67" i="32"/>
  <c r="W67" i="32"/>
  <c r="X66" i="32"/>
  <c r="W66" i="32"/>
  <c r="X62" i="32"/>
  <c r="W62" i="32"/>
  <c r="X61" i="32"/>
  <c r="W61" i="32"/>
  <c r="X59" i="32"/>
  <c r="W59" i="32"/>
  <c r="X58" i="32"/>
  <c r="W58" i="32"/>
  <c r="X55" i="32"/>
  <c r="X54" i="32"/>
  <c r="X85" i="31"/>
  <c r="W85" i="31"/>
  <c r="X84" i="31"/>
  <c r="W84" i="31"/>
  <c r="X83" i="31"/>
  <c r="W83" i="31"/>
  <c r="X82" i="31"/>
  <c r="W82" i="31"/>
  <c r="X80" i="31"/>
  <c r="W80" i="31"/>
  <c r="X79" i="31"/>
  <c r="W79" i="31"/>
  <c r="X78" i="31"/>
  <c r="W78" i="31"/>
  <c r="X76" i="31"/>
  <c r="W76" i="31"/>
  <c r="X75" i="31"/>
  <c r="W75" i="31"/>
  <c r="X73" i="31"/>
  <c r="W73" i="31"/>
  <c r="X72" i="31"/>
  <c r="W72" i="31"/>
  <c r="X71" i="31"/>
  <c r="W71" i="31"/>
  <c r="X70" i="31"/>
  <c r="W70" i="31"/>
  <c r="X69" i="31"/>
  <c r="W69" i="31"/>
  <c r="X68" i="31"/>
  <c r="W68" i="31"/>
  <c r="X67" i="31"/>
  <c r="W67" i="31"/>
  <c r="X66" i="31"/>
  <c r="W66" i="31"/>
  <c r="X62" i="31"/>
  <c r="W62" i="31"/>
  <c r="X61" i="31"/>
  <c r="W61" i="31"/>
  <c r="X59" i="31"/>
  <c r="W59" i="31"/>
  <c r="X58" i="31"/>
  <c r="W58" i="31"/>
  <c r="X55" i="31"/>
  <c r="X54" i="31"/>
  <c r="X86" i="30"/>
  <c r="W86" i="30"/>
  <c r="X85" i="30"/>
  <c r="W85" i="30"/>
  <c r="X84" i="30"/>
  <c r="W84" i="30"/>
  <c r="X83" i="30"/>
  <c r="W83" i="30"/>
  <c r="X81" i="30"/>
  <c r="W81" i="30"/>
  <c r="X80" i="30"/>
  <c r="W80" i="30"/>
  <c r="X79" i="30"/>
  <c r="W79" i="30"/>
  <c r="X77" i="30"/>
  <c r="W77" i="30"/>
  <c r="X76" i="30"/>
  <c r="W76" i="30"/>
  <c r="X74" i="30"/>
  <c r="W74" i="30"/>
  <c r="X73" i="30"/>
  <c r="W73" i="30"/>
  <c r="X72" i="30"/>
  <c r="W72" i="30"/>
  <c r="X71" i="30"/>
  <c r="W71" i="30"/>
  <c r="X70" i="30"/>
  <c r="W70" i="30"/>
  <c r="X69" i="30"/>
  <c r="W69" i="30"/>
  <c r="X68" i="30"/>
  <c r="W68" i="30"/>
  <c r="X67" i="30"/>
  <c r="W67" i="30"/>
  <c r="X63" i="30"/>
  <c r="W63" i="30"/>
  <c r="X62" i="30"/>
  <c r="W62" i="30"/>
  <c r="X60" i="30"/>
  <c r="W60" i="30"/>
  <c r="X59" i="30"/>
  <c r="W59" i="30"/>
  <c r="X56" i="30"/>
  <c r="X55" i="30"/>
  <c r="X76" i="29"/>
  <c r="W76" i="29"/>
  <c r="X75" i="29"/>
  <c r="W75" i="29"/>
  <c r="X74" i="29"/>
  <c r="W74" i="29"/>
  <c r="X73" i="29"/>
  <c r="W73" i="29"/>
  <c r="X71" i="29"/>
  <c r="W71" i="29"/>
  <c r="X70" i="29"/>
  <c r="W70" i="29"/>
  <c r="X69" i="29"/>
  <c r="W69" i="29"/>
  <c r="X67" i="29"/>
  <c r="W67" i="29"/>
  <c r="X66" i="29"/>
  <c r="W66" i="29"/>
  <c r="X64" i="29"/>
  <c r="W64" i="29"/>
  <c r="X63" i="29"/>
  <c r="W63" i="29"/>
  <c r="X62" i="29"/>
  <c r="W62" i="29"/>
  <c r="X61" i="29"/>
  <c r="W61" i="29"/>
  <c r="X60" i="29"/>
  <c r="W60" i="29"/>
  <c r="X59" i="29"/>
  <c r="W59" i="29"/>
  <c r="X58" i="29"/>
  <c r="W58" i="29"/>
  <c r="X57" i="29"/>
  <c r="W57" i="29"/>
  <c r="X53" i="29"/>
  <c r="W53" i="29"/>
  <c r="X52" i="29"/>
  <c r="W52" i="29"/>
  <c r="X50" i="29"/>
  <c r="W50" i="29"/>
  <c r="X49" i="29"/>
  <c r="W49" i="29"/>
  <c r="X46" i="29"/>
  <c r="X45" i="29"/>
  <c r="X76" i="5"/>
  <c r="W76" i="5"/>
  <c r="X75" i="5"/>
  <c r="W75" i="5"/>
  <c r="X74" i="5"/>
  <c r="W74" i="5"/>
  <c r="X73" i="5"/>
  <c r="W73" i="5"/>
  <c r="X71" i="5"/>
  <c r="W71" i="5"/>
  <c r="X70" i="5"/>
  <c r="W70" i="5"/>
  <c r="X69" i="5"/>
  <c r="W69" i="5"/>
  <c r="X67" i="5"/>
  <c r="W67" i="5"/>
  <c r="X66" i="5"/>
  <c r="W66" i="5"/>
  <c r="X64" i="5"/>
  <c r="W64" i="5"/>
  <c r="X63" i="5"/>
  <c r="W63" i="5"/>
  <c r="X62" i="5"/>
  <c r="W62" i="5"/>
  <c r="X61" i="5"/>
  <c r="W61" i="5"/>
  <c r="X60" i="5"/>
  <c r="W60" i="5"/>
  <c r="X59" i="5"/>
  <c r="W59" i="5"/>
  <c r="X58" i="5"/>
  <c r="W58" i="5"/>
  <c r="X57" i="5"/>
  <c r="W57" i="5"/>
  <c r="X53" i="5"/>
  <c r="W53" i="5"/>
  <c r="X52" i="5"/>
  <c r="W52" i="5"/>
  <c r="X50" i="5"/>
  <c r="W50" i="5"/>
  <c r="X49" i="5"/>
  <c r="W49" i="5"/>
  <c r="X46" i="5"/>
  <c r="X45" i="5"/>
  <c r="X76" i="26"/>
  <c r="W76" i="26"/>
  <c r="X75" i="26"/>
  <c r="W75" i="26"/>
  <c r="X74" i="26"/>
  <c r="W74" i="26"/>
  <c r="X73" i="26"/>
  <c r="W73" i="26"/>
  <c r="X71" i="26"/>
  <c r="W71" i="26"/>
  <c r="X70" i="26"/>
  <c r="W70" i="26"/>
  <c r="X69" i="26"/>
  <c r="W69" i="26"/>
  <c r="X67" i="26"/>
  <c r="W67" i="26"/>
  <c r="X66" i="26"/>
  <c r="W66" i="26"/>
  <c r="X64" i="26"/>
  <c r="W64" i="26"/>
  <c r="X63" i="26"/>
  <c r="W63" i="26"/>
  <c r="X62" i="26"/>
  <c r="W62" i="26"/>
  <c r="X61" i="26"/>
  <c r="W61" i="26"/>
  <c r="X60" i="26"/>
  <c r="W60" i="26"/>
  <c r="X59" i="26"/>
  <c r="W59" i="26"/>
  <c r="X58" i="26"/>
  <c r="W58" i="26"/>
  <c r="X57" i="26"/>
  <c r="W57" i="26"/>
  <c r="X53" i="26"/>
  <c r="W53" i="26"/>
  <c r="X52" i="26"/>
  <c r="W52" i="26"/>
  <c r="X50" i="26"/>
  <c r="W50" i="26"/>
  <c r="X49" i="26"/>
  <c r="X46" i="26"/>
  <c r="X45" i="26"/>
  <c r="X78" i="4"/>
  <c r="W78" i="4"/>
  <c r="X77" i="4"/>
  <c r="W77" i="4"/>
  <c r="X76" i="4"/>
  <c r="W76" i="4"/>
  <c r="X75" i="4"/>
  <c r="W75" i="4"/>
  <c r="X73" i="4"/>
  <c r="W73" i="4"/>
  <c r="X72" i="4"/>
  <c r="W72" i="4"/>
  <c r="X71" i="4"/>
  <c r="W71" i="4"/>
  <c r="X69" i="4"/>
  <c r="W69" i="4"/>
  <c r="X68" i="4"/>
  <c r="W68" i="4"/>
  <c r="X66" i="4"/>
  <c r="W66" i="4"/>
  <c r="X65" i="4"/>
  <c r="W65" i="4"/>
  <c r="X64" i="4"/>
  <c r="W64" i="4"/>
  <c r="X63" i="4"/>
  <c r="W63" i="4"/>
  <c r="X62" i="4"/>
  <c r="W62" i="4"/>
  <c r="X61" i="4"/>
  <c r="W61" i="4"/>
  <c r="X60" i="4"/>
  <c r="W60" i="4"/>
  <c r="X59" i="4"/>
  <c r="W59" i="4"/>
  <c r="X55" i="4"/>
  <c r="W55" i="4"/>
  <c r="X54" i="4"/>
  <c r="W54" i="4"/>
  <c r="X52" i="4"/>
  <c r="W52" i="4"/>
  <c r="X51" i="4"/>
  <c r="W51" i="4"/>
  <c r="X48" i="4"/>
  <c r="X47" i="4"/>
  <c r="X57" i="34" l="1"/>
  <c r="W57" i="34"/>
  <c r="X56" i="34"/>
  <c r="W56" i="34"/>
  <c r="X55" i="34"/>
  <c r="W55" i="34"/>
  <c r="X54" i="34"/>
  <c r="W54" i="34"/>
  <c r="X52" i="34"/>
  <c r="W52" i="34"/>
  <c r="X51" i="34"/>
  <c r="W51" i="34"/>
  <c r="X50" i="34"/>
  <c r="W50" i="34"/>
  <c r="X48" i="34"/>
  <c r="W48" i="34"/>
  <c r="X47" i="34"/>
  <c r="W47" i="34"/>
  <c r="X45" i="34"/>
  <c r="W45" i="34"/>
  <c r="X44" i="34"/>
  <c r="W44" i="34"/>
  <c r="X43" i="34"/>
  <c r="W43" i="34"/>
  <c r="X42" i="34"/>
  <c r="W42" i="34"/>
  <c r="X41" i="34"/>
  <c r="W41" i="34"/>
  <c r="X40" i="34"/>
  <c r="W40" i="34"/>
  <c r="X39" i="34"/>
  <c r="W39" i="34"/>
  <c r="X38" i="34"/>
  <c r="W38" i="34"/>
  <c r="X34" i="34"/>
  <c r="W34" i="34"/>
  <c r="X33" i="34"/>
  <c r="W33" i="34"/>
  <c r="T70" i="25" l="1"/>
  <c r="T69" i="25"/>
  <c r="T68" i="25"/>
  <c r="T67" i="25"/>
  <c r="T65" i="25"/>
  <c r="T64" i="25"/>
  <c r="T63" i="25"/>
  <c r="T61" i="25"/>
  <c r="T60" i="25"/>
  <c r="T58" i="25"/>
  <c r="T57" i="25"/>
  <c r="T56" i="25"/>
  <c r="T55" i="25"/>
  <c r="T54" i="25"/>
  <c r="T53" i="25"/>
  <c r="T52" i="25"/>
  <c r="T51" i="25"/>
  <c r="U47" i="25"/>
  <c r="T47" i="25"/>
  <c r="U46" i="25"/>
  <c r="T46" i="25"/>
  <c r="U45" i="25"/>
  <c r="T45" i="25"/>
  <c r="U44" i="25"/>
  <c r="T44" i="25"/>
  <c r="U43" i="25"/>
  <c r="T43" i="25"/>
  <c r="U40" i="25"/>
  <c r="U39" i="25"/>
  <c r="U38" i="25"/>
  <c r="T33" i="25"/>
  <c r="T32" i="25"/>
  <c r="U28" i="25"/>
  <c r="U27" i="25"/>
  <c r="U26" i="25"/>
  <c r="U25" i="25"/>
  <c r="T18" i="25"/>
  <c r="T17" i="25"/>
  <c r="T16" i="25"/>
  <c r="T15" i="25"/>
  <c r="T12" i="25"/>
  <c r="U60" i="33"/>
  <c r="U82" i="33" s="1"/>
  <c r="T60" i="33"/>
  <c r="U45" i="33"/>
  <c r="U44" i="33"/>
  <c r="U43" i="33"/>
  <c r="U42" i="33"/>
  <c r="T40" i="33"/>
  <c r="U35" i="33"/>
  <c r="U15" i="33"/>
  <c r="T15" i="33"/>
  <c r="U63" i="32"/>
  <c r="U85" i="32" s="1"/>
  <c r="T63" i="32"/>
  <c r="U48" i="32"/>
  <c r="U47" i="32"/>
  <c r="U46" i="32"/>
  <c r="U45" i="32"/>
  <c r="T43" i="32"/>
  <c r="U38" i="32"/>
  <c r="U15" i="32"/>
  <c r="T15" i="32"/>
  <c r="U63" i="31"/>
  <c r="U85" i="31" s="1"/>
  <c r="T63" i="31"/>
  <c r="U48" i="31"/>
  <c r="U47" i="31"/>
  <c r="T45" i="31"/>
  <c r="U40" i="31"/>
  <c r="U21" i="31"/>
  <c r="T21" i="31"/>
  <c r="U15" i="31"/>
  <c r="T15" i="31"/>
  <c r="W15" i="31" s="1"/>
  <c r="U64" i="30"/>
  <c r="U85" i="30" s="1"/>
  <c r="T64" i="30"/>
  <c r="U49" i="30"/>
  <c r="U48" i="30"/>
  <c r="U47" i="30"/>
  <c r="T45" i="30"/>
  <c r="U40" i="30"/>
  <c r="U24" i="30"/>
  <c r="T24" i="30"/>
  <c r="U15" i="30"/>
  <c r="T15" i="30"/>
  <c r="W15" i="30" s="1"/>
  <c r="U76" i="29"/>
  <c r="U71" i="29"/>
  <c r="U66" i="29"/>
  <c r="U61" i="29"/>
  <c r="U57" i="29"/>
  <c r="U54" i="29"/>
  <c r="U75" i="29" s="1"/>
  <c r="T54" i="29"/>
  <c r="U39" i="29"/>
  <c r="U38" i="29"/>
  <c r="U31" i="29"/>
  <c r="U14" i="29"/>
  <c r="T14" i="29"/>
  <c r="U54" i="5"/>
  <c r="U75" i="5" s="1"/>
  <c r="T54" i="5"/>
  <c r="U39" i="5"/>
  <c r="U38" i="5"/>
  <c r="T36" i="5"/>
  <c r="U31" i="5"/>
  <c r="T14" i="5"/>
  <c r="U54" i="26"/>
  <c r="U76" i="26" s="1"/>
  <c r="T54" i="26"/>
  <c r="U39" i="26"/>
  <c r="U38" i="26"/>
  <c r="T36" i="26"/>
  <c r="U31" i="26"/>
  <c r="U14" i="26"/>
  <c r="T14" i="26"/>
  <c r="U56" i="4"/>
  <c r="U78" i="4" s="1"/>
  <c r="T56" i="4"/>
  <c r="U41" i="4"/>
  <c r="T39" i="4"/>
  <c r="U34" i="4"/>
  <c r="T19" i="4"/>
  <c r="T14" i="4"/>
  <c r="U35" i="34"/>
  <c r="U57" i="34" s="1"/>
  <c r="T35" i="34"/>
  <c r="T25" i="34"/>
  <c r="U20" i="34"/>
  <c r="T48" i="25" l="1"/>
  <c r="U48" i="25"/>
  <c r="U32" i="25"/>
  <c r="T11" i="25"/>
  <c r="U69" i="30"/>
  <c r="U73" i="30"/>
  <c r="U79" i="30"/>
  <c r="U84" i="30"/>
  <c r="U67" i="30"/>
  <c r="U71" i="30"/>
  <c r="U76" i="30"/>
  <c r="U81" i="30"/>
  <c r="U86" i="30"/>
  <c r="U59" i="29"/>
  <c r="U63" i="29"/>
  <c r="U69" i="29"/>
  <c r="U74" i="29"/>
  <c r="U59" i="5"/>
  <c r="U63" i="5"/>
  <c r="U69" i="5"/>
  <c r="U74" i="5"/>
  <c r="U57" i="5"/>
  <c r="U61" i="5"/>
  <c r="U66" i="5"/>
  <c r="U71" i="5"/>
  <c r="U76" i="5"/>
  <c r="U33" i="25"/>
  <c r="U29" i="25"/>
  <c r="U64" i="33"/>
  <c r="U66" i="33"/>
  <c r="U68" i="33"/>
  <c r="U70" i="33"/>
  <c r="U73" i="33"/>
  <c r="U76" i="33"/>
  <c r="U79" i="33"/>
  <c r="U81" i="33"/>
  <c r="U63" i="33"/>
  <c r="U65" i="33"/>
  <c r="U67" i="33"/>
  <c r="U69" i="33"/>
  <c r="U72" i="33"/>
  <c r="U75" i="33"/>
  <c r="U77" i="33"/>
  <c r="U80" i="33"/>
  <c r="U67" i="32"/>
  <c r="U69" i="32"/>
  <c r="U71" i="32"/>
  <c r="U73" i="32"/>
  <c r="U76" i="32"/>
  <c r="U79" i="32"/>
  <c r="U82" i="32"/>
  <c r="U84" i="32"/>
  <c r="U66" i="32"/>
  <c r="U68" i="32"/>
  <c r="U70" i="32"/>
  <c r="U72" i="32"/>
  <c r="U75" i="32"/>
  <c r="U78" i="32"/>
  <c r="U80" i="32"/>
  <c r="U83" i="32"/>
  <c r="U67" i="31"/>
  <c r="U69" i="31"/>
  <c r="U71" i="31"/>
  <c r="U73" i="31"/>
  <c r="U76" i="31"/>
  <c r="U79" i="31"/>
  <c r="U82" i="31"/>
  <c r="U84" i="31"/>
  <c r="U66" i="31"/>
  <c r="U68" i="31"/>
  <c r="U70" i="31"/>
  <c r="U72" i="31"/>
  <c r="U75" i="31"/>
  <c r="U78" i="31"/>
  <c r="U80" i="31"/>
  <c r="U83" i="31"/>
  <c r="U68" i="30"/>
  <c r="U70" i="30"/>
  <c r="U72" i="30"/>
  <c r="U74" i="30"/>
  <c r="U77" i="30"/>
  <c r="U80" i="30"/>
  <c r="U83" i="30"/>
  <c r="U58" i="29"/>
  <c r="U60" i="29"/>
  <c r="U62" i="29"/>
  <c r="U64" i="29"/>
  <c r="U67" i="29"/>
  <c r="U70" i="29"/>
  <c r="U73" i="29"/>
  <c r="U58" i="5"/>
  <c r="U60" i="5"/>
  <c r="U62" i="5"/>
  <c r="U64" i="5"/>
  <c r="U67" i="5"/>
  <c r="U70" i="5"/>
  <c r="U73" i="5"/>
  <c r="U58" i="26"/>
  <c r="U60" i="26"/>
  <c r="U62" i="26"/>
  <c r="U64" i="26"/>
  <c r="U67" i="26"/>
  <c r="U70" i="26"/>
  <c r="U73" i="26"/>
  <c r="U75" i="26"/>
  <c r="U57" i="26"/>
  <c r="U59" i="26"/>
  <c r="U61" i="26"/>
  <c r="U63" i="26"/>
  <c r="U66" i="26"/>
  <c r="U69" i="26"/>
  <c r="U71" i="26"/>
  <c r="U74" i="26"/>
  <c r="U60" i="4"/>
  <c r="U62" i="4"/>
  <c r="U64" i="4"/>
  <c r="U66" i="4"/>
  <c r="U69" i="4"/>
  <c r="U72" i="4"/>
  <c r="U75" i="4"/>
  <c r="U77" i="4"/>
  <c r="U59" i="4"/>
  <c r="U61" i="4"/>
  <c r="U63" i="4"/>
  <c r="U65" i="4"/>
  <c r="U68" i="4"/>
  <c r="U71" i="4"/>
  <c r="U73" i="4"/>
  <c r="U76" i="4"/>
  <c r="U39" i="34"/>
  <c r="U41" i="34"/>
  <c r="U43" i="34"/>
  <c r="U45" i="34"/>
  <c r="U48" i="34"/>
  <c r="U51" i="34"/>
  <c r="U54" i="34"/>
  <c r="U56" i="34"/>
  <c r="U38" i="34"/>
  <c r="U40" i="34"/>
  <c r="U42" i="34"/>
  <c r="U44" i="34"/>
  <c r="U47" i="34"/>
  <c r="U50" i="34"/>
  <c r="U52" i="34"/>
  <c r="U55" i="34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D17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D12" i="25"/>
  <c r="R33" i="25" l="1"/>
  <c r="R32" i="25"/>
  <c r="P33" i="25"/>
  <c r="P32" i="25"/>
  <c r="N33" i="25"/>
  <c r="N32" i="25"/>
  <c r="L33" i="25"/>
  <c r="L32" i="25"/>
  <c r="J33" i="25"/>
  <c r="J32" i="25"/>
  <c r="H33" i="25"/>
  <c r="H32" i="25"/>
  <c r="R70" i="25"/>
  <c r="R69" i="25"/>
  <c r="R68" i="25"/>
  <c r="R67" i="25"/>
  <c r="R65" i="25"/>
  <c r="R64" i="25"/>
  <c r="R63" i="25"/>
  <c r="R61" i="25"/>
  <c r="R60" i="25"/>
  <c r="R58" i="25"/>
  <c r="R57" i="25"/>
  <c r="R56" i="25"/>
  <c r="R55" i="25"/>
  <c r="R54" i="25"/>
  <c r="R53" i="25"/>
  <c r="R52" i="25"/>
  <c r="R51" i="25"/>
  <c r="P70" i="25"/>
  <c r="P69" i="25"/>
  <c r="P68" i="25"/>
  <c r="P67" i="25"/>
  <c r="P65" i="25"/>
  <c r="P64" i="25"/>
  <c r="P63" i="25"/>
  <c r="P61" i="25"/>
  <c r="P60" i="25"/>
  <c r="P58" i="25"/>
  <c r="P57" i="25"/>
  <c r="P56" i="25"/>
  <c r="P55" i="25"/>
  <c r="P54" i="25"/>
  <c r="P53" i="25"/>
  <c r="P52" i="25"/>
  <c r="P51" i="25"/>
  <c r="N70" i="25"/>
  <c r="N69" i="25"/>
  <c r="N68" i="25"/>
  <c r="N67" i="25"/>
  <c r="N65" i="25"/>
  <c r="N64" i="25"/>
  <c r="N63" i="25"/>
  <c r="N61" i="25"/>
  <c r="N60" i="25"/>
  <c r="N58" i="25"/>
  <c r="N57" i="25"/>
  <c r="N56" i="25"/>
  <c r="N55" i="25"/>
  <c r="N54" i="25"/>
  <c r="N53" i="25"/>
  <c r="N52" i="25"/>
  <c r="N51" i="25"/>
  <c r="L70" i="25"/>
  <c r="L69" i="25"/>
  <c r="L68" i="25"/>
  <c r="L67" i="25"/>
  <c r="L65" i="25"/>
  <c r="L64" i="25"/>
  <c r="L63" i="25"/>
  <c r="L61" i="25"/>
  <c r="L60" i="25"/>
  <c r="L58" i="25"/>
  <c r="L57" i="25"/>
  <c r="L56" i="25"/>
  <c r="L55" i="25"/>
  <c r="L54" i="25"/>
  <c r="L53" i="25"/>
  <c r="L52" i="25"/>
  <c r="L51" i="25"/>
  <c r="H70" i="25"/>
  <c r="H69" i="25"/>
  <c r="H68" i="25"/>
  <c r="H67" i="25"/>
  <c r="H65" i="25"/>
  <c r="H64" i="25"/>
  <c r="H63" i="25"/>
  <c r="H61" i="25"/>
  <c r="H60" i="25"/>
  <c r="H58" i="25"/>
  <c r="H57" i="25"/>
  <c r="H56" i="25"/>
  <c r="H55" i="25"/>
  <c r="H54" i="25"/>
  <c r="H53" i="25"/>
  <c r="H52" i="25"/>
  <c r="H51" i="25"/>
  <c r="F70" i="25"/>
  <c r="F69" i="25"/>
  <c r="F68" i="25"/>
  <c r="F67" i="25"/>
  <c r="F65" i="25"/>
  <c r="F64" i="25"/>
  <c r="F63" i="25"/>
  <c r="F61" i="25"/>
  <c r="F60" i="25"/>
  <c r="F58" i="25"/>
  <c r="F57" i="25"/>
  <c r="F56" i="25"/>
  <c r="F55" i="25"/>
  <c r="F54" i="25"/>
  <c r="F53" i="25"/>
  <c r="F52" i="25"/>
  <c r="F51" i="25"/>
  <c r="D52" i="25"/>
  <c r="D53" i="25"/>
  <c r="D54" i="25"/>
  <c r="D55" i="25"/>
  <c r="D56" i="25"/>
  <c r="D57" i="25"/>
  <c r="D58" i="25"/>
  <c r="D60" i="25"/>
  <c r="D61" i="25"/>
  <c r="D63" i="25"/>
  <c r="D64" i="25"/>
  <c r="D65" i="25"/>
  <c r="D67" i="25"/>
  <c r="D68" i="25"/>
  <c r="D69" i="25"/>
  <c r="D70" i="25"/>
  <c r="D51" i="25"/>
  <c r="E44" i="25"/>
  <c r="G44" i="25"/>
  <c r="I44" i="25"/>
  <c r="J44" i="25"/>
  <c r="K44" i="25"/>
  <c r="L44" i="25"/>
  <c r="M44" i="25"/>
  <c r="N44" i="25"/>
  <c r="O44" i="25"/>
  <c r="P44" i="25"/>
  <c r="Q44" i="25"/>
  <c r="R44" i="25"/>
  <c r="S44" i="25"/>
  <c r="E45" i="25"/>
  <c r="G45" i="25"/>
  <c r="I45" i="25"/>
  <c r="J45" i="25"/>
  <c r="K45" i="25"/>
  <c r="L45" i="25"/>
  <c r="M45" i="25"/>
  <c r="N45" i="25"/>
  <c r="O45" i="25"/>
  <c r="P45" i="25"/>
  <c r="Q45" i="25"/>
  <c r="R45" i="25"/>
  <c r="S45" i="25"/>
  <c r="E46" i="25"/>
  <c r="G46" i="25"/>
  <c r="I46" i="25"/>
  <c r="J46" i="25"/>
  <c r="K46" i="25"/>
  <c r="L46" i="25"/>
  <c r="M46" i="25"/>
  <c r="N46" i="25"/>
  <c r="O46" i="25"/>
  <c r="P46" i="25"/>
  <c r="Q46" i="25"/>
  <c r="R46" i="25"/>
  <c r="S46" i="25"/>
  <c r="E47" i="25"/>
  <c r="G47" i="25"/>
  <c r="I47" i="25"/>
  <c r="J47" i="25"/>
  <c r="K47" i="25"/>
  <c r="L47" i="25"/>
  <c r="M47" i="25"/>
  <c r="N47" i="25"/>
  <c r="O47" i="25"/>
  <c r="P47" i="25"/>
  <c r="Q47" i="25"/>
  <c r="R47" i="25"/>
  <c r="S47" i="25"/>
  <c r="E43" i="25"/>
  <c r="G43" i="25"/>
  <c r="I43" i="25"/>
  <c r="J43" i="25"/>
  <c r="K43" i="25"/>
  <c r="L43" i="25"/>
  <c r="M43" i="25"/>
  <c r="N43" i="25"/>
  <c r="O43" i="25"/>
  <c r="P43" i="25"/>
  <c r="Q43" i="25"/>
  <c r="R43" i="25"/>
  <c r="S43" i="25"/>
  <c r="E39" i="25"/>
  <c r="G39" i="25"/>
  <c r="I39" i="25"/>
  <c r="K39" i="25"/>
  <c r="M39" i="25"/>
  <c r="O39" i="25"/>
  <c r="Q39" i="25"/>
  <c r="S39" i="25"/>
  <c r="G40" i="25"/>
  <c r="I40" i="25"/>
  <c r="K40" i="25"/>
  <c r="M40" i="25"/>
  <c r="O40" i="25"/>
  <c r="Q40" i="25"/>
  <c r="G38" i="25"/>
  <c r="I38" i="25"/>
  <c r="K38" i="25"/>
  <c r="M38" i="25"/>
  <c r="O38" i="25"/>
  <c r="Q38" i="25"/>
  <c r="S38" i="25"/>
  <c r="E38" i="25"/>
  <c r="E26" i="25"/>
  <c r="G26" i="25"/>
  <c r="I26" i="25"/>
  <c r="K26" i="25"/>
  <c r="M26" i="25"/>
  <c r="O26" i="25"/>
  <c r="Q26" i="25"/>
  <c r="S26" i="25"/>
  <c r="E27" i="25"/>
  <c r="G27" i="25"/>
  <c r="I27" i="25"/>
  <c r="K27" i="25"/>
  <c r="M27" i="25"/>
  <c r="O27" i="25"/>
  <c r="Q27" i="25"/>
  <c r="S27" i="25"/>
  <c r="E28" i="25"/>
  <c r="G28" i="25"/>
  <c r="I28" i="25"/>
  <c r="K28" i="25"/>
  <c r="M28" i="25"/>
  <c r="O28" i="25"/>
  <c r="Q28" i="25"/>
  <c r="S28" i="25"/>
  <c r="G25" i="25"/>
  <c r="I25" i="25"/>
  <c r="K25" i="25"/>
  <c r="M25" i="25"/>
  <c r="O25" i="25"/>
  <c r="Q25" i="25"/>
  <c r="S25" i="25"/>
  <c r="E25" i="25"/>
  <c r="G11" i="25"/>
  <c r="F14" i="25"/>
  <c r="G14" i="25"/>
  <c r="F15" i="25"/>
  <c r="G15" i="25"/>
  <c r="F16" i="25"/>
  <c r="G16" i="25"/>
  <c r="E11" i="25"/>
  <c r="I11" i="25"/>
  <c r="K11" i="25"/>
  <c r="M11" i="25"/>
  <c r="O11" i="25"/>
  <c r="Q11" i="25"/>
  <c r="E14" i="25"/>
  <c r="H14" i="25"/>
  <c r="I14" i="25"/>
  <c r="J14" i="25"/>
  <c r="K14" i="25"/>
  <c r="L14" i="25"/>
  <c r="M14" i="25"/>
  <c r="N14" i="25"/>
  <c r="O14" i="25"/>
  <c r="P14" i="25"/>
  <c r="Q14" i="25"/>
  <c r="R14" i="25"/>
  <c r="S14" i="25"/>
  <c r="E15" i="25"/>
  <c r="H15" i="25"/>
  <c r="I15" i="25"/>
  <c r="J15" i="25"/>
  <c r="K15" i="25"/>
  <c r="L15" i="25"/>
  <c r="M15" i="25"/>
  <c r="N15" i="25"/>
  <c r="O15" i="25"/>
  <c r="P15" i="25"/>
  <c r="Q15" i="25"/>
  <c r="R15" i="25"/>
  <c r="S15" i="25"/>
  <c r="E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E18" i="25"/>
  <c r="R18" i="25"/>
  <c r="D18" i="25"/>
  <c r="D16" i="25"/>
  <c r="D15" i="25"/>
  <c r="D14" i="25"/>
  <c r="D14" i="4"/>
  <c r="S48" i="25" l="1"/>
  <c r="R48" i="25"/>
  <c r="Q48" i="25"/>
  <c r="Q70" i="25" s="1"/>
  <c r="P48" i="25"/>
  <c r="O48" i="25"/>
  <c r="O70" i="25" s="1"/>
  <c r="N48" i="25"/>
  <c r="M48" i="25"/>
  <c r="M70" i="25" s="1"/>
  <c r="L48" i="25"/>
  <c r="K48" i="25"/>
  <c r="J48" i="25"/>
  <c r="I48" i="25"/>
  <c r="I70" i="25" s="1"/>
  <c r="G48" i="25"/>
  <c r="G70" i="25" s="1"/>
  <c r="E48" i="25"/>
  <c r="S33" i="25"/>
  <c r="Q33" i="25"/>
  <c r="O33" i="25"/>
  <c r="M33" i="25"/>
  <c r="K33" i="25"/>
  <c r="I33" i="25"/>
  <c r="S32" i="25"/>
  <c r="Q32" i="25"/>
  <c r="O32" i="25"/>
  <c r="M32" i="25"/>
  <c r="K32" i="25"/>
  <c r="I32" i="25"/>
  <c r="S29" i="25"/>
  <c r="Q29" i="25"/>
  <c r="O29" i="25"/>
  <c r="M29" i="25"/>
  <c r="K29" i="25"/>
  <c r="I29" i="25"/>
  <c r="G29" i="25"/>
  <c r="E29" i="25"/>
  <c r="E70" i="25" l="1"/>
  <c r="C52" i="25"/>
  <c r="C55" i="25"/>
  <c r="C61" i="25"/>
  <c r="C65" i="25"/>
  <c r="C60" i="25"/>
  <c r="C69" i="25"/>
  <c r="C56" i="25"/>
  <c r="C53" i="25"/>
  <c r="C63" i="25"/>
  <c r="C58" i="25"/>
  <c r="C54" i="25"/>
  <c r="C64" i="25"/>
  <c r="C68" i="25"/>
  <c r="C51" i="25"/>
  <c r="C67" i="25"/>
  <c r="C70" i="25"/>
  <c r="C57" i="25"/>
  <c r="S70" i="25"/>
  <c r="U52" i="25"/>
  <c r="U56" i="25"/>
  <c r="U70" i="25"/>
  <c r="U55" i="25"/>
  <c r="U57" i="25"/>
  <c r="U65" i="25"/>
  <c r="U58" i="25"/>
  <c r="U69" i="25"/>
  <c r="U63" i="25"/>
  <c r="U67" i="25"/>
  <c r="U68" i="25"/>
  <c r="U61" i="25"/>
  <c r="U53" i="25"/>
  <c r="U54" i="25"/>
  <c r="U51" i="25"/>
  <c r="U64" i="25"/>
  <c r="U60" i="25"/>
  <c r="E51" i="25"/>
  <c r="M51" i="25"/>
  <c r="E52" i="25"/>
  <c r="M52" i="25"/>
  <c r="E53" i="25"/>
  <c r="M53" i="25"/>
  <c r="E54" i="25"/>
  <c r="M54" i="25"/>
  <c r="E55" i="25"/>
  <c r="M55" i="25"/>
  <c r="E56" i="25"/>
  <c r="M56" i="25"/>
  <c r="E57" i="25"/>
  <c r="M57" i="25"/>
  <c r="E58" i="25"/>
  <c r="M58" i="25"/>
  <c r="E60" i="25"/>
  <c r="M60" i="25"/>
  <c r="E61" i="25"/>
  <c r="M61" i="25"/>
  <c r="E63" i="25"/>
  <c r="M63" i="25"/>
  <c r="E64" i="25"/>
  <c r="M64" i="25"/>
  <c r="E65" i="25"/>
  <c r="M65" i="25"/>
  <c r="E67" i="25"/>
  <c r="M67" i="25"/>
  <c r="E68" i="25"/>
  <c r="M68" i="25"/>
  <c r="E69" i="25"/>
  <c r="M69" i="25"/>
  <c r="I51" i="25"/>
  <c r="Q51" i="25"/>
  <c r="I52" i="25"/>
  <c r="Q52" i="25"/>
  <c r="I53" i="25"/>
  <c r="Q53" i="25"/>
  <c r="I54" i="25"/>
  <c r="Q54" i="25"/>
  <c r="I55" i="25"/>
  <c r="Q55" i="25"/>
  <c r="I56" i="25"/>
  <c r="Q56" i="25"/>
  <c r="I57" i="25"/>
  <c r="Q57" i="25"/>
  <c r="I58" i="25"/>
  <c r="Q58" i="25"/>
  <c r="I60" i="25"/>
  <c r="Q60" i="25"/>
  <c r="I61" i="25"/>
  <c r="Q61" i="25"/>
  <c r="I63" i="25"/>
  <c r="Q63" i="25"/>
  <c r="I64" i="25"/>
  <c r="Q64" i="25"/>
  <c r="I65" i="25"/>
  <c r="Q65" i="25"/>
  <c r="I67" i="25"/>
  <c r="Q67" i="25"/>
  <c r="I68" i="25"/>
  <c r="Q68" i="25"/>
  <c r="I69" i="25"/>
  <c r="Q69" i="25"/>
  <c r="G51" i="25"/>
  <c r="O51" i="25"/>
  <c r="S51" i="25"/>
  <c r="G52" i="25"/>
  <c r="O52" i="25"/>
  <c r="S52" i="25"/>
  <c r="G53" i="25"/>
  <c r="O53" i="25"/>
  <c r="S53" i="25"/>
  <c r="G54" i="25"/>
  <c r="O54" i="25"/>
  <c r="S54" i="25"/>
  <c r="G55" i="25"/>
  <c r="O55" i="25"/>
  <c r="S55" i="25"/>
  <c r="G56" i="25"/>
  <c r="O56" i="25"/>
  <c r="S56" i="25"/>
  <c r="G57" i="25"/>
  <c r="O57" i="25"/>
  <c r="S57" i="25"/>
  <c r="G58" i="25"/>
  <c r="O58" i="25"/>
  <c r="S58" i="25"/>
  <c r="G60" i="25"/>
  <c r="O60" i="25"/>
  <c r="S60" i="25"/>
  <c r="G61" i="25"/>
  <c r="O61" i="25"/>
  <c r="S61" i="25"/>
  <c r="G63" i="25"/>
  <c r="O63" i="25"/>
  <c r="S63" i="25"/>
  <c r="G64" i="25"/>
  <c r="O64" i="25"/>
  <c r="S64" i="25"/>
  <c r="G65" i="25"/>
  <c r="O65" i="25"/>
  <c r="S65" i="25"/>
  <c r="G67" i="25"/>
  <c r="O67" i="25"/>
  <c r="S67" i="25"/>
  <c r="G68" i="25"/>
  <c r="O68" i="25"/>
  <c r="S68" i="25"/>
  <c r="G69" i="25"/>
  <c r="O69" i="25"/>
  <c r="S69" i="25"/>
  <c r="S48" i="32"/>
  <c r="X48" i="32" s="1"/>
  <c r="S45" i="32"/>
  <c r="Q45" i="32"/>
  <c r="Q46" i="32"/>
  <c r="Q47" i="31"/>
  <c r="S48" i="30"/>
  <c r="X48" i="30" s="1"/>
  <c r="Q48" i="30"/>
  <c r="O48" i="30"/>
  <c r="S39" i="5"/>
  <c r="X39" i="5" s="1"/>
  <c r="Q39" i="5"/>
  <c r="C54" i="5" l="1"/>
  <c r="E54" i="5"/>
  <c r="G54" i="5"/>
  <c r="I54" i="5"/>
  <c r="J54" i="5"/>
  <c r="K54" i="5"/>
  <c r="L54" i="5"/>
  <c r="M54" i="5"/>
  <c r="N54" i="5"/>
  <c r="O54" i="5"/>
  <c r="P54" i="5"/>
  <c r="Q54" i="5"/>
  <c r="R54" i="5"/>
  <c r="W54" i="5" s="1"/>
  <c r="S54" i="5"/>
  <c r="X54" i="5" s="1"/>
  <c r="E46" i="5"/>
  <c r="J60" i="33" l="1"/>
  <c r="J63" i="32"/>
  <c r="J63" i="31"/>
  <c r="J64" i="30"/>
  <c r="J54" i="29"/>
  <c r="H54" i="26"/>
  <c r="J56" i="4"/>
  <c r="L60" i="33" l="1"/>
  <c r="N60" i="33"/>
  <c r="P60" i="33"/>
  <c r="R60" i="33"/>
  <c r="W60" i="33" s="1"/>
  <c r="R63" i="32"/>
  <c r="W63" i="32" s="1"/>
  <c r="P63" i="32"/>
  <c r="N63" i="32"/>
  <c r="L63" i="32"/>
  <c r="L63" i="31"/>
  <c r="N63" i="31"/>
  <c r="P63" i="31"/>
  <c r="R63" i="31"/>
  <c r="W63" i="31" s="1"/>
  <c r="L64" i="30"/>
  <c r="N64" i="30"/>
  <c r="P64" i="30"/>
  <c r="R64" i="30"/>
  <c r="W64" i="30" s="1"/>
  <c r="L54" i="29"/>
  <c r="N54" i="29"/>
  <c r="P54" i="29"/>
  <c r="R54" i="29"/>
  <c r="W54" i="29" s="1"/>
  <c r="R54" i="26"/>
  <c r="W54" i="26" s="1"/>
  <c r="P54" i="26"/>
  <c r="N54" i="26"/>
  <c r="L54" i="26"/>
  <c r="J54" i="26"/>
  <c r="L56" i="4"/>
  <c r="N56" i="4"/>
  <c r="P56" i="4"/>
  <c r="R56" i="4"/>
  <c r="W56" i="4" s="1"/>
  <c r="R35" i="34"/>
  <c r="W35" i="34" s="1"/>
  <c r="P35" i="34"/>
  <c r="N35" i="34"/>
  <c r="L35" i="34"/>
  <c r="J35" i="34"/>
  <c r="C48" i="30" l="1"/>
  <c r="C47" i="30"/>
  <c r="E48" i="30"/>
  <c r="E47" i="30"/>
  <c r="I48" i="30"/>
  <c r="I47" i="30"/>
  <c r="K48" i="30"/>
  <c r="K47" i="30"/>
  <c r="M48" i="30"/>
  <c r="M47" i="30"/>
  <c r="O47" i="30"/>
  <c r="Q49" i="30"/>
  <c r="Q47" i="30"/>
  <c r="S47" i="30"/>
  <c r="X47" i="30" s="1"/>
  <c r="X25" i="29" l="1"/>
  <c r="S52" i="33" l="1"/>
  <c r="S55" i="31"/>
  <c r="S56" i="30"/>
  <c r="S46" i="29"/>
  <c r="S46" i="26"/>
  <c r="S40" i="25" l="1"/>
  <c r="K52" i="33"/>
  <c r="E52" i="33"/>
  <c r="E54" i="32" l="1"/>
  <c r="E55" i="32"/>
  <c r="E53" i="32"/>
  <c r="C55" i="32"/>
  <c r="C53" i="32"/>
  <c r="K56" i="30" l="1"/>
  <c r="E46" i="29" l="1"/>
  <c r="E40" i="25" s="1"/>
  <c r="K46" i="26" l="1"/>
  <c r="E46" i="26"/>
  <c r="S45" i="33" l="1"/>
  <c r="X45" i="33" s="1"/>
  <c r="S44" i="33"/>
  <c r="X44" i="33" s="1"/>
  <c r="S43" i="33"/>
  <c r="X43" i="33" s="1"/>
  <c r="S42" i="33"/>
  <c r="X42" i="33" s="1"/>
  <c r="Q45" i="33"/>
  <c r="Q44" i="33"/>
  <c r="Q43" i="33"/>
  <c r="Q42" i="33"/>
  <c r="O45" i="33"/>
  <c r="O44" i="33"/>
  <c r="O43" i="33"/>
  <c r="O42" i="33"/>
  <c r="M45" i="33"/>
  <c r="M44" i="33"/>
  <c r="M43" i="33"/>
  <c r="M42" i="33"/>
  <c r="K45" i="33"/>
  <c r="K44" i="33"/>
  <c r="K43" i="33"/>
  <c r="K42" i="33"/>
  <c r="I42" i="33"/>
  <c r="I44" i="33"/>
  <c r="I45" i="33"/>
  <c r="I43" i="33" l="1"/>
  <c r="S47" i="32"/>
  <c r="S46" i="32"/>
  <c r="X46" i="32" s="1"/>
  <c r="Q47" i="32"/>
  <c r="O47" i="32"/>
  <c r="O46" i="32"/>
  <c r="O45" i="32"/>
  <c r="M47" i="32"/>
  <c r="M46" i="32"/>
  <c r="M45" i="32"/>
  <c r="X45" i="32" s="1"/>
  <c r="K47" i="32"/>
  <c r="K46" i="32"/>
  <c r="K45" i="32"/>
  <c r="I47" i="32"/>
  <c r="I46" i="32"/>
  <c r="C46" i="32"/>
  <c r="E46" i="32"/>
  <c r="C47" i="32"/>
  <c r="I45" i="32"/>
  <c r="X47" i="32" l="1"/>
  <c r="R13" i="33"/>
  <c r="R14" i="33"/>
  <c r="R14" i="32"/>
  <c r="R13" i="32"/>
  <c r="R13" i="31"/>
  <c r="R14" i="31"/>
  <c r="R23" i="30"/>
  <c r="R13" i="30"/>
  <c r="R14" i="30"/>
  <c r="R13" i="29"/>
  <c r="R12" i="29"/>
  <c r="R12" i="5"/>
  <c r="R13" i="5"/>
  <c r="R13" i="26"/>
  <c r="R13" i="4"/>
  <c r="R12" i="4"/>
  <c r="Q48" i="32" l="1"/>
  <c r="O48" i="32"/>
  <c r="M48" i="32"/>
  <c r="K48" i="32"/>
  <c r="I48" i="32"/>
  <c r="E48" i="32"/>
  <c r="C48" i="32"/>
  <c r="E45" i="32"/>
  <c r="C45" i="32"/>
  <c r="S48" i="31"/>
  <c r="X48" i="31" s="1"/>
  <c r="Q48" i="31"/>
  <c r="O48" i="31"/>
  <c r="M48" i="31"/>
  <c r="K48" i="31"/>
  <c r="I48" i="31"/>
  <c r="E48" i="31"/>
  <c r="S47" i="31"/>
  <c r="X47" i="31" s="1"/>
  <c r="O47" i="31"/>
  <c r="M47" i="31"/>
  <c r="K47" i="31"/>
  <c r="I47" i="31"/>
  <c r="E47" i="31"/>
  <c r="C48" i="31"/>
  <c r="C47" i="31"/>
  <c r="S49" i="30"/>
  <c r="X49" i="30" s="1"/>
  <c r="O49" i="30"/>
  <c r="M49" i="30"/>
  <c r="K49" i="30"/>
  <c r="I49" i="30"/>
  <c r="E49" i="30"/>
  <c r="C49" i="30"/>
  <c r="S39" i="29"/>
  <c r="X39" i="29" s="1"/>
  <c r="Q39" i="29"/>
  <c r="O39" i="29"/>
  <c r="M39" i="29"/>
  <c r="K39" i="29"/>
  <c r="I39" i="29"/>
  <c r="E39" i="29"/>
  <c r="C39" i="29"/>
  <c r="S38" i="29"/>
  <c r="X38" i="29" s="1"/>
  <c r="Q38" i="29"/>
  <c r="O38" i="29"/>
  <c r="M38" i="29"/>
  <c r="K38" i="29"/>
  <c r="I38" i="29"/>
  <c r="E38" i="29"/>
  <c r="C38" i="29"/>
  <c r="O39" i="5"/>
  <c r="M39" i="5"/>
  <c r="K39" i="5"/>
  <c r="I39" i="5"/>
  <c r="E39" i="5"/>
  <c r="S38" i="5"/>
  <c r="X38" i="5" s="1"/>
  <c r="Q38" i="5"/>
  <c r="O38" i="5"/>
  <c r="M38" i="5"/>
  <c r="K38" i="5"/>
  <c r="I38" i="5"/>
  <c r="S39" i="26"/>
  <c r="X39" i="26" s="1"/>
  <c r="Q39" i="26"/>
  <c r="O39" i="26"/>
  <c r="M39" i="26"/>
  <c r="K39" i="26"/>
  <c r="I39" i="26"/>
  <c r="E39" i="26"/>
  <c r="S38" i="26"/>
  <c r="X38" i="26" s="1"/>
  <c r="Q38" i="26"/>
  <c r="O38" i="26"/>
  <c r="M38" i="26"/>
  <c r="K38" i="26"/>
  <c r="I38" i="26"/>
  <c r="E38" i="26"/>
  <c r="E38" i="5"/>
  <c r="C39" i="5"/>
  <c r="C38" i="5"/>
  <c r="C39" i="26"/>
  <c r="C38" i="26"/>
  <c r="S41" i="4"/>
  <c r="X41" i="4" s="1"/>
  <c r="O41" i="4"/>
  <c r="M41" i="4"/>
  <c r="K41" i="4"/>
  <c r="I41" i="4"/>
  <c r="E41" i="4"/>
  <c r="C41" i="4"/>
  <c r="D54" i="34"/>
  <c r="D52" i="34"/>
  <c r="D50" i="34"/>
  <c r="D48" i="34"/>
  <c r="D47" i="34"/>
  <c r="D38" i="34"/>
  <c r="S35" i="34"/>
  <c r="Q35" i="34"/>
  <c r="O35" i="34"/>
  <c r="O43" i="34" s="1"/>
  <c r="M35" i="34"/>
  <c r="M56" i="34" s="1"/>
  <c r="K35" i="34"/>
  <c r="K55" i="34" s="1"/>
  <c r="I35" i="34"/>
  <c r="I56" i="34" s="1"/>
  <c r="G35" i="34"/>
  <c r="G51" i="34" s="1"/>
  <c r="C35" i="34"/>
  <c r="C40" i="34" s="1"/>
  <c r="E30" i="34"/>
  <c r="E35" i="34" s="1"/>
  <c r="E55" i="34" s="1"/>
  <c r="R25" i="34"/>
  <c r="P25" i="34"/>
  <c r="N25" i="34"/>
  <c r="L25" i="34"/>
  <c r="J25" i="34"/>
  <c r="H25" i="34"/>
  <c r="F25" i="34"/>
  <c r="D25" i="34"/>
  <c r="S20" i="34"/>
  <c r="X20" i="34" s="1"/>
  <c r="Q20" i="34"/>
  <c r="O20" i="34"/>
  <c r="M20" i="34"/>
  <c r="K20" i="34"/>
  <c r="I20" i="34"/>
  <c r="G20" i="34"/>
  <c r="C20" i="34"/>
  <c r="D13" i="34"/>
  <c r="S57" i="34" l="1"/>
  <c r="X35" i="34"/>
  <c r="E47" i="34"/>
  <c r="E38" i="34"/>
  <c r="E48" i="34"/>
  <c r="E52" i="34"/>
  <c r="C55" i="34"/>
  <c r="C51" i="34"/>
  <c r="C47" i="34"/>
  <c r="C43" i="34"/>
  <c r="C39" i="34"/>
  <c r="E43" i="34"/>
  <c r="E51" i="34"/>
  <c r="G39" i="34"/>
  <c r="G47" i="34"/>
  <c r="G55" i="34"/>
  <c r="I41" i="34"/>
  <c r="I45" i="34"/>
  <c r="I57" i="34"/>
  <c r="K43" i="34"/>
  <c r="K51" i="34"/>
  <c r="M39" i="34"/>
  <c r="M43" i="34"/>
  <c r="M47" i="34"/>
  <c r="M51" i="34"/>
  <c r="M55" i="34"/>
  <c r="O39" i="34"/>
  <c r="O47" i="34"/>
  <c r="C57" i="34"/>
  <c r="C45" i="34"/>
  <c r="C41" i="34"/>
  <c r="E39" i="34"/>
  <c r="G43" i="34"/>
  <c r="I39" i="34"/>
  <c r="I43" i="34"/>
  <c r="I47" i="34"/>
  <c r="I51" i="34"/>
  <c r="I55" i="34"/>
  <c r="K39" i="34"/>
  <c r="K47" i="34"/>
  <c r="M41" i="34"/>
  <c r="M45" i="34"/>
  <c r="M57" i="34"/>
  <c r="E56" i="34"/>
  <c r="E42" i="34"/>
  <c r="E40" i="34"/>
  <c r="G56" i="34"/>
  <c r="G54" i="34"/>
  <c r="G52" i="34"/>
  <c r="G50" i="34"/>
  <c r="G48" i="34"/>
  <c r="G42" i="34"/>
  <c r="G40" i="34"/>
  <c r="G38" i="34"/>
  <c r="K56" i="34"/>
  <c r="K54" i="34"/>
  <c r="K52" i="34"/>
  <c r="K50" i="34"/>
  <c r="K48" i="34"/>
  <c r="K44" i="34"/>
  <c r="K42" i="34"/>
  <c r="K40" i="34"/>
  <c r="K38" i="34"/>
  <c r="O56" i="34"/>
  <c r="O54" i="34"/>
  <c r="O52" i="34"/>
  <c r="O50" i="34"/>
  <c r="O48" i="34"/>
  <c r="O44" i="34"/>
  <c r="O42" i="34"/>
  <c r="O40" i="34"/>
  <c r="O38" i="34"/>
  <c r="O57" i="34"/>
  <c r="O55" i="34"/>
  <c r="O51" i="34"/>
  <c r="E50" i="34"/>
  <c r="E54" i="34"/>
  <c r="E41" i="34"/>
  <c r="E45" i="34"/>
  <c r="E57" i="34"/>
  <c r="G41" i="34"/>
  <c r="G45" i="34"/>
  <c r="G57" i="34"/>
  <c r="K41" i="34"/>
  <c r="K45" i="34"/>
  <c r="K57" i="34"/>
  <c r="O41" i="34"/>
  <c r="O45" i="34"/>
  <c r="C38" i="34"/>
  <c r="C56" i="34"/>
  <c r="C54" i="34"/>
  <c r="C52" i="34"/>
  <c r="C50" i="34"/>
  <c r="C48" i="34"/>
  <c r="C42" i="34"/>
  <c r="I38" i="34"/>
  <c r="I40" i="34"/>
  <c r="I42" i="34"/>
  <c r="I44" i="34"/>
  <c r="I48" i="34"/>
  <c r="I50" i="34"/>
  <c r="I52" i="34"/>
  <c r="I54" i="34"/>
  <c r="M38" i="34"/>
  <c r="M40" i="34"/>
  <c r="M42" i="34"/>
  <c r="M44" i="34"/>
  <c r="M48" i="34"/>
  <c r="M50" i="34"/>
  <c r="M52" i="34"/>
  <c r="M54" i="34"/>
  <c r="S42" i="34"/>
  <c r="S50" i="34"/>
  <c r="S38" i="34"/>
  <c r="S54" i="34"/>
  <c r="S40" i="34"/>
  <c r="S44" i="34"/>
  <c r="S48" i="34"/>
  <c r="S52" i="34"/>
  <c r="S56" i="34"/>
  <c r="S39" i="34"/>
  <c r="S41" i="34"/>
  <c r="S43" i="34"/>
  <c r="S45" i="34"/>
  <c r="S47" i="34"/>
  <c r="S51" i="34"/>
  <c r="S55" i="34"/>
  <c r="N19" i="4" l="1"/>
  <c r="N14" i="5"/>
  <c r="F14" i="5"/>
  <c r="L15" i="33"/>
  <c r="J82" i="33" l="1"/>
  <c r="J81" i="33"/>
  <c r="J80" i="33"/>
  <c r="J79" i="33"/>
  <c r="J77" i="33"/>
  <c r="J76" i="33"/>
  <c r="J75" i="33"/>
  <c r="J73" i="33"/>
  <c r="J72" i="33"/>
  <c r="J70" i="33"/>
  <c r="J69" i="33"/>
  <c r="J68" i="33"/>
  <c r="J67" i="33"/>
  <c r="J66" i="33"/>
  <c r="J65" i="33"/>
  <c r="J64" i="33"/>
  <c r="J63" i="33"/>
  <c r="C34" i="33"/>
  <c r="C33" i="33"/>
  <c r="C32" i="33"/>
  <c r="C31" i="33"/>
  <c r="J85" i="32"/>
  <c r="J84" i="32"/>
  <c r="J83" i="32"/>
  <c r="J82" i="32"/>
  <c r="J80" i="32"/>
  <c r="J79" i="32"/>
  <c r="J78" i="32"/>
  <c r="J76" i="32"/>
  <c r="J75" i="32"/>
  <c r="J73" i="32"/>
  <c r="J72" i="32"/>
  <c r="J71" i="32"/>
  <c r="J70" i="32"/>
  <c r="J69" i="32"/>
  <c r="J68" i="32"/>
  <c r="J67" i="32"/>
  <c r="J66" i="32"/>
  <c r="J85" i="31"/>
  <c r="J84" i="31"/>
  <c r="J83" i="31"/>
  <c r="J82" i="31"/>
  <c r="J80" i="31"/>
  <c r="J79" i="31"/>
  <c r="J78" i="31"/>
  <c r="J76" i="31"/>
  <c r="J75" i="31"/>
  <c r="J73" i="31"/>
  <c r="J72" i="31"/>
  <c r="J71" i="31"/>
  <c r="J70" i="31"/>
  <c r="J69" i="31"/>
  <c r="J68" i="31"/>
  <c r="J67" i="31"/>
  <c r="J66" i="31"/>
  <c r="J86" i="30"/>
  <c r="J85" i="30"/>
  <c r="J84" i="30"/>
  <c r="J83" i="30"/>
  <c r="J81" i="30"/>
  <c r="J80" i="30"/>
  <c r="J79" i="30"/>
  <c r="J77" i="30"/>
  <c r="J76" i="30"/>
  <c r="J74" i="30"/>
  <c r="J73" i="30"/>
  <c r="J72" i="30"/>
  <c r="J71" i="30"/>
  <c r="J70" i="30"/>
  <c r="J69" i="30"/>
  <c r="J68" i="30"/>
  <c r="J67" i="30"/>
  <c r="C17" i="30"/>
  <c r="L16" i="30"/>
  <c r="J76" i="29"/>
  <c r="J70" i="25" s="1"/>
  <c r="K70" i="25" s="1"/>
  <c r="J75" i="29"/>
  <c r="J69" i="25" s="1"/>
  <c r="K69" i="25" s="1"/>
  <c r="J74" i="29"/>
  <c r="J68" i="25" s="1"/>
  <c r="K68" i="25" s="1"/>
  <c r="J73" i="29"/>
  <c r="J67" i="25" s="1"/>
  <c r="K67" i="25" s="1"/>
  <c r="J71" i="29"/>
  <c r="J65" i="25" s="1"/>
  <c r="K65" i="25" s="1"/>
  <c r="J70" i="29"/>
  <c r="J64" i="25" s="1"/>
  <c r="K64" i="25" s="1"/>
  <c r="J69" i="29"/>
  <c r="J63" i="25" s="1"/>
  <c r="K63" i="25" s="1"/>
  <c r="J67" i="29"/>
  <c r="J61" i="25" s="1"/>
  <c r="K61" i="25" s="1"/>
  <c r="J66" i="29"/>
  <c r="J60" i="25" s="1"/>
  <c r="K60" i="25" s="1"/>
  <c r="J64" i="29"/>
  <c r="J58" i="25" s="1"/>
  <c r="K58" i="25" s="1"/>
  <c r="J63" i="29"/>
  <c r="J57" i="25" s="1"/>
  <c r="K57" i="25" s="1"/>
  <c r="J62" i="29"/>
  <c r="J56" i="25" s="1"/>
  <c r="K56" i="25" s="1"/>
  <c r="J61" i="29"/>
  <c r="J55" i="25" s="1"/>
  <c r="K55" i="25" s="1"/>
  <c r="J60" i="29"/>
  <c r="J54" i="25" s="1"/>
  <c r="K54" i="25" s="1"/>
  <c r="J59" i="29"/>
  <c r="J53" i="25" s="1"/>
  <c r="K53" i="25" s="1"/>
  <c r="J58" i="29"/>
  <c r="J52" i="25" s="1"/>
  <c r="K52" i="25" s="1"/>
  <c r="J57" i="29"/>
  <c r="J51" i="25" s="1"/>
  <c r="K51" i="25" s="1"/>
  <c r="J76" i="5"/>
  <c r="J75" i="5"/>
  <c r="J74" i="5"/>
  <c r="J73" i="5"/>
  <c r="J71" i="5"/>
  <c r="J70" i="5"/>
  <c r="J69" i="5"/>
  <c r="J67" i="5"/>
  <c r="J66" i="5"/>
  <c r="J64" i="5"/>
  <c r="J63" i="5"/>
  <c r="J62" i="5"/>
  <c r="J61" i="5"/>
  <c r="J60" i="5"/>
  <c r="J59" i="5"/>
  <c r="J58" i="5"/>
  <c r="J57" i="5"/>
  <c r="C15" i="5" l="1"/>
  <c r="I28" i="26"/>
  <c r="C28" i="26"/>
  <c r="I27" i="26"/>
  <c r="C27" i="26"/>
  <c r="J59" i="4"/>
  <c r="C32" i="4"/>
  <c r="C31" i="4"/>
  <c r="C30" i="4"/>
  <c r="P15" i="4"/>
  <c r="Q41" i="4" s="1"/>
  <c r="R21" i="31"/>
  <c r="W21" i="31" s="1"/>
  <c r="P21" i="31"/>
  <c r="N21" i="31"/>
  <c r="L21" i="31"/>
  <c r="J21" i="31"/>
  <c r="H21" i="31"/>
  <c r="F21" i="31"/>
  <c r="D21" i="31"/>
  <c r="B21" i="31"/>
  <c r="R24" i="30"/>
  <c r="W24" i="30" s="1"/>
  <c r="P24" i="30"/>
  <c r="N24" i="30"/>
  <c r="L24" i="30"/>
  <c r="J24" i="30"/>
  <c r="H24" i="30"/>
  <c r="F24" i="30"/>
  <c r="D24" i="30"/>
  <c r="B24" i="30"/>
  <c r="R19" i="4" l="1"/>
  <c r="W19" i="4" s="1"/>
  <c r="P19" i="4"/>
  <c r="L19" i="4"/>
  <c r="J19" i="4"/>
  <c r="H19" i="4"/>
  <c r="F19" i="4"/>
  <c r="D19" i="4"/>
  <c r="B19" i="4"/>
  <c r="S60" i="33" l="1"/>
  <c r="X60" i="33" s="1"/>
  <c r="Q60" i="33"/>
  <c r="O60" i="33"/>
  <c r="M60" i="33"/>
  <c r="K60" i="33"/>
  <c r="I60" i="33"/>
  <c r="G60" i="33"/>
  <c r="E60" i="33"/>
  <c r="C60" i="33"/>
  <c r="R40" i="33"/>
  <c r="P40" i="33"/>
  <c r="N40" i="33"/>
  <c r="L40" i="33"/>
  <c r="J40" i="33"/>
  <c r="H40" i="33"/>
  <c r="F40" i="33"/>
  <c r="D40" i="33"/>
  <c r="B40" i="33"/>
  <c r="S35" i="33"/>
  <c r="Q35" i="33"/>
  <c r="O35" i="33"/>
  <c r="M35" i="33"/>
  <c r="K35" i="33"/>
  <c r="I35" i="33"/>
  <c r="G35" i="33"/>
  <c r="E35" i="33"/>
  <c r="C35" i="33"/>
  <c r="R15" i="33"/>
  <c r="W15" i="33" s="1"/>
  <c r="P15" i="33"/>
  <c r="N15" i="33"/>
  <c r="J15" i="33"/>
  <c r="H15" i="33"/>
  <c r="F15" i="33"/>
  <c r="D15" i="33"/>
  <c r="B15" i="33"/>
  <c r="S63" i="32"/>
  <c r="X63" i="32" s="1"/>
  <c r="Q63" i="32"/>
  <c r="O63" i="32"/>
  <c r="M63" i="32"/>
  <c r="M85" i="32" s="1"/>
  <c r="K63" i="32"/>
  <c r="I63" i="32"/>
  <c r="G63" i="32"/>
  <c r="E63" i="32"/>
  <c r="E85" i="32" s="1"/>
  <c r="C63" i="32"/>
  <c r="R43" i="32"/>
  <c r="P43" i="32"/>
  <c r="N43" i="32"/>
  <c r="L43" i="32"/>
  <c r="J43" i="32"/>
  <c r="H43" i="32"/>
  <c r="F43" i="32"/>
  <c r="D43" i="32"/>
  <c r="B43" i="32"/>
  <c r="S38" i="32"/>
  <c r="Q38" i="32"/>
  <c r="O38" i="32"/>
  <c r="M38" i="32"/>
  <c r="K38" i="32"/>
  <c r="I38" i="32"/>
  <c r="G38" i="32"/>
  <c r="E38" i="32"/>
  <c r="C38" i="32"/>
  <c r="R15" i="32"/>
  <c r="W15" i="32" s="1"/>
  <c r="P15" i="32"/>
  <c r="N15" i="32"/>
  <c r="L15" i="32"/>
  <c r="J15" i="32"/>
  <c r="H15" i="32"/>
  <c r="F15" i="32"/>
  <c r="D15" i="32"/>
  <c r="B15" i="32"/>
  <c r="S63" i="31"/>
  <c r="Q63" i="31"/>
  <c r="O63" i="31"/>
  <c r="M63" i="31"/>
  <c r="K63" i="31"/>
  <c r="K84" i="31" s="1"/>
  <c r="I63" i="31"/>
  <c r="G63" i="31"/>
  <c r="E63" i="31"/>
  <c r="C63" i="31"/>
  <c r="C82" i="31" s="1"/>
  <c r="X45" i="31"/>
  <c r="R45" i="31"/>
  <c r="W45" i="31" s="1"/>
  <c r="P45" i="31"/>
  <c r="N45" i="31"/>
  <c r="L45" i="31"/>
  <c r="J45" i="31"/>
  <c r="H45" i="31"/>
  <c r="F45" i="31"/>
  <c r="D45" i="31"/>
  <c r="B45" i="31"/>
  <c r="S40" i="31"/>
  <c r="Q40" i="31"/>
  <c r="O40" i="31"/>
  <c r="M40" i="31"/>
  <c r="K40" i="31"/>
  <c r="I40" i="31"/>
  <c r="G40" i="31"/>
  <c r="E40" i="31"/>
  <c r="C40" i="31"/>
  <c r="R15" i="31"/>
  <c r="P15" i="31"/>
  <c r="N15" i="31"/>
  <c r="L15" i="31"/>
  <c r="J15" i="31"/>
  <c r="H15" i="31"/>
  <c r="F15" i="31"/>
  <c r="D15" i="31"/>
  <c r="B15" i="31"/>
  <c r="S64" i="30"/>
  <c r="X64" i="30" s="1"/>
  <c r="Q64" i="30"/>
  <c r="O64" i="30"/>
  <c r="M64" i="30"/>
  <c r="K64" i="30"/>
  <c r="K83" i="30" s="1"/>
  <c r="I64" i="30"/>
  <c r="G64" i="30"/>
  <c r="E64" i="30"/>
  <c r="C64" i="30"/>
  <c r="C85" i="30" s="1"/>
  <c r="X45" i="30"/>
  <c r="R45" i="30"/>
  <c r="W45" i="30" s="1"/>
  <c r="P45" i="30"/>
  <c r="N45" i="30"/>
  <c r="L45" i="30"/>
  <c r="J45" i="30"/>
  <c r="H45" i="30"/>
  <c r="F45" i="30"/>
  <c r="D45" i="30"/>
  <c r="B45" i="30"/>
  <c r="S40" i="30"/>
  <c r="Q40" i="30"/>
  <c r="O40" i="30"/>
  <c r="M40" i="30"/>
  <c r="K40" i="30"/>
  <c r="I40" i="30"/>
  <c r="G40" i="30"/>
  <c r="E40" i="30"/>
  <c r="C40" i="30"/>
  <c r="R15" i="30"/>
  <c r="P15" i="30"/>
  <c r="N15" i="30"/>
  <c r="L15" i="30"/>
  <c r="J15" i="30"/>
  <c r="H15" i="30"/>
  <c r="F15" i="30"/>
  <c r="D15" i="30"/>
  <c r="B15" i="30"/>
  <c r="S54" i="29"/>
  <c r="Q54" i="29"/>
  <c r="O54" i="29"/>
  <c r="M54" i="29"/>
  <c r="K54" i="29"/>
  <c r="K75" i="29" s="1"/>
  <c r="I54" i="29"/>
  <c r="G54" i="29"/>
  <c r="E54" i="29"/>
  <c r="C54" i="29"/>
  <c r="C73" i="29" s="1"/>
  <c r="R36" i="29"/>
  <c r="P36" i="29"/>
  <c r="N36" i="29"/>
  <c r="L36" i="29"/>
  <c r="J36" i="29"/>
  <c r="H36" i="29"/>
  <c r="F36" i="29"/>
  <c r="D36" i="29"/>
  <c r="B36" i="29"/>
  <c r="S31" i="29"/>
  <c r="Q31" i="29"/>
  <c r="O31" i="29"/>
  <c r="M31" i="29"/>
  <c r="K31" i="29"/>
  <c r="I31" i="29"/>
  <c r="G31" i="29"/>
  <c r="E31" i="29"/>
  <c r="C31" i="29"/>
  <c r="R14" i="29"/>
  <c r="W14" i="29" s="1"/>
  <c r="P14" i="29"/>
  <c r="P11" i="25" s="1"/>
  <c r="N14" i="29"/>
  <c r="N11" i="25" s="1"/>
  <c r="L14" i="29"/>
  <c r="L11" i="25" s="1"/>
  <c r="J14" i="29"/>
  <c r="J11" i="25" s="1"/>
  <c r="H14" i="29"/>
  <c r="H11" i="25" s="1"/>
  <c r="F14" i="29"/>
  <c r="F11" i="25" s="1"/>
  <c r="D14" i="29"/>
  <c r="D11" i="25" s="1"/>
  <c r="B14" i="29"/>
  <c r="S84" i="31" l="1"/>
  <c r="X63" i="31"/>
  <c r="S73" i="29"/>
  <c r="X54" i="29"/>
  <c r="K68" i="31"/>
  <c r="K76" i="31"/>
  <c r="K82" i="31"/>
  <c r="C66" i="31"/>
  <c r="C70" i="31"/>
  <c r="C73" i="31"/>
  <c r="C79" i="31"/>
  <c r="C84" i="31"/>
  <c r="S82" i="33"/>
  <c r="S85" i="30"/>
  <c r="S66" i="31"/>
  <c r="S68" i="31"/>
  <c r="S70" i="31"/>
  <c r="S73" i="31"/>
  <c r="S76" i="31"/>
  <c r="S79" i="31"/>
  <c r="S82" i="31"/>
  <c r="E67" i="32"/>
  <c r="E69" i="32"/>
  <c r="E71" i="32"/>
  <c r="E75" i="32"/>
  <c r="E78" i="32"/>
  <c r="E80" i="32"/>
  <c r="E83" i="32"/>
  <c r="M67" i="32"/>
  <c r="M69" i="32"/>
  <c r="M71" i="32"/>
  <c r="M72" i="32"/>
  <c r="M75" i="32"/>
  <c r="M78" i="32"/>
  <c r="M80" i="32"/>
  <c r="M83" i="32"/>
  <c r="K66" i="31"/>
  <c r="C68" i="31"/>
  <c r="K70" i="31"/>
  <c r="K73" i="31"/>
  <c r="C76" i="31"/>
  <c r="K79" i="31"/>
  <c r="K67" i="30"/>
  <c r="C69" i="30"/>
  <c r="S69" i="30"/>
  <c r="K71" i="30"/>
  <c r="K74" i="30"/>
  <c r="C77" i="30"/>
  <c r="S77" i="30"/>
  <c r="K80" i="30"/>
  <c r="C83" i="30"/>
  <c r="S83" i="30"/>
  <c r="K85" i="30"/>
  <c r="C67" i="30"/>
  <c r="S67" i="30"/>
  <c r="K69" i="30"/>
  <c r="C71" i="30"/>
  <c r="S71" i="30"/>
  <c r="C74" i="30"/>
  <c r="S74" i="30"/>
  <c r="K77" i="30"/>
  <c r="C80" i="30"/>
  <c r="S80" i="30"/>
  <c r="C57" i="29"/>
  <c r="S57" i="29"/>
  <c r="K59" i="29"/>
  <c r="C61" i="29"/>
  <c r="S61" i="29"/>
  <c r="C64" i="29"/>
  <c r="S64" i="29"/>
  <c r="K67" i="29"/>
  <c r="C70" i="29"/>
  <c r="S70" i="29"/>
  <c r="K73" i="29"/>
  <c r="C75" i="29"/>
  <c r="S75" i="29"/>
  <c r="K57" i="29"/>
  <c r="C59" i="29"/>
  <c r="S59" i="29"/>
  <c r="K61" i="29"/>
  <c r="K64" i="29"/>
  <c r="C67" i="29"/>
  <c r="S67" i="29"/>
  <c r="K70" i="29"/>
  <c r="C82" i="33"/>
  <c r="C80" i="33"/>
  <c r="C77" i="33"/>
  <c r="C75" i="33"/>
  <c r="C72" i="33"/>
  <c r="C68" i="33"/>
  <c r="C66" i="33"/>
  <c r="C64" i="33"/>
  <c r="C81" i="33"/>
  <c r="C79" i="33"/>
  <c r="C76" i="33"/>
  <c r="C73" i="33"/>
  <c r="C70" i="33"/>
  <c r="C67" i="33"/>
  <c r="C65" i="33"/>
  <c r="C63" i="33"/>
  <c r="G82" i="33"/>
  <c r="G80" i="33"/>
  <c r="G77" i="33"/>
  <c r="G75" i="33"/>
  <c r="G72" i="33"/>
  <c r="G68" i="33"/>
  <c r="G66" i="33"/>
  <c r="G64" i="33"/>
  <c r="G81" i="33"/>
  <c r="G79" i="33"/>
  <c r="G76" i="33"/>
  <c r="G73" i="33"/>
  <c r="G70" i="33"/>
  <c r="G67" i="33"/>
  <c r="G65" i="33"/>
  <c r="G63" i="33"/>
  <c r="K82" i="33"/>
  <c r="K80" i="33"/>
  <c r="K77" i="33"/>
  <c r="K75" i="33"/>
  <c r="K72" i="33"/>
  <c r="K69" i="33"/>
  <c r="K68" i="33"/>
  <c r="K66" i="33"/>
  <c r="K64" i="33"/>
  <c r="K81" i="33"/>
  <c r="K79" i="33"/>
  <c r="K76" i="33"/>
  <c r="K73" i="33"/>
  <c r="K70" i="33"/>
  <c r="K67" i="33"/>
  <c r="K65" i="33"/>
  <c r="K63" i="33"/>
  <c r="O82" i="33"/>
  <c r="O80" i="33"/>
  <c r="O77" i="33"/>
  <c r="O75" i="33"/>
  <c r="O72" i="33"/>
  <c r="O69" i="33"/>
  <c r="O68" i="33"/>
  <c r="O66" i="33"/>
  <c r="O64" i="33"/>
  <c r="O81" i="33"/>
  <c r="O79" i="33"/>
  <c r="O76" i="33"/>
  <c r="O73" i="33"/>
  <c r="O70" i="33"/>
  <c r="O67" i="33"/>
  <c r="O65" i="33"/>
  <c r="O63" i="33"/>
  <c r="E81" i="33"/>
  <c r="E79" i="33"/>
  <c r="E76" i="33"/>
  <c r="E73" i="33"/>
  <c r="E70" i="33"/>
  <c r="E67" i="33"/>
  <c r="E65" i="33"/>
  <c r="E63" i="33"/>
  <c r="E82" i="33"/>
  <c r="E80" i="33"/>
  <c r="E77" i="33"/>
  <c r="E75" i="33"/>
  <c r="E72" i="33"/>
  <c r="E68" i="33"/>
  <c r="E66" i="33"/>
  <c r="E64" i="33"/>
  <c r="I81" i="33"/>
  <c r="I79" i="33"/>
  <c r="I76" i="33"/>
  <c r="I73" i="33"/>
  <c r="I70" i="33"/>
  <c r="I67" i="33"/>
  <c r="I65" i="33"/>
  <c r="I63" i="33"/>
  <c r="I82" i="33"/>
  <c r="I80" i="33"/>
  <c r="I77" i="33"/>
  <c r="I75" i="33"/>
  <c r="I72" i="33"/>
  <c r="I69" i="33"/>
  <c r="I68" i="33"/>
  <c r="I66" i="33"/>
  <c r="I64" i="33"/>
  <c r="M81" i="33"/>
  <c r="M79" i="33"/>
  <c r="M76" i="33"/>
  <c r="M73" i="33"/>
  <c r="M70" i="33"/>
  <c r="M67" i="33"/>
  <c r="M65" i="33"/>
  <c r="M63" i="33"/>
  <c r="M82" i="33"/>
  <c r="M80" i="33"/>
  <c r="M77" i="33"/>
  <c r="M75" i="33"/>
  <c r="M72" i="33"/>
  <c r="M69" i="33"/>
  <c r="M68" i="33"/>
  <c r="M66" i="33"/>
  <c r="M64" i="33"/>
  <c r="Q81" i="33"/>
  <c r="Q79" i="33"/>
  <c r="Q76" i="33"/>
  <c r="Q73" i="33"/>
  <c r="Q70" i="33"/>
  <c r="Q67" i="33"/>
  <c r="Q65" i="33"/>
  <c r="Q63" i="33"/>
  <c r="Q82" i="33"/>
  <c r="Q80" i="33"/>
  <c r="Q77" i="33"/>
  <c r="Q75" i="33"/>
  <c r="Q72" i="33"/>
  <c r="Q69" i="33"/>
  <c r="Q68" i="33"/>
  <c r="Q66" i="33"/>
  <c r="Q64" i="33"/>
  <c r="S63" i="33"/>
  <c r="S65" i="33"/>
  <c r="S67" i="33"/>
  <c r="S70" i="33"/>
  <c r="S73" i="33"/>
  <c r="S76" i="33"/>
  <c r="S79" i="33"/>
  <c r="S81" i="33"/>
  <c r="S64" i="33"/>
  <c r="S66" i="33"/>
  <c r="S68" i="33"/>
  <c r="S69" i="33"/>
  <c r="S72" i="33"/>
  <c r="S75" i="33"/>
  <c r="S77" i="33"/>
  <c r="S80" i="33"/>
  <c r="C85" i="32"/>
  <c r="C83" i="32"/>
  <c r="C80" i="32"/>
  <c r="C78" i="32"/>
  <c r="C75" i="32"/>
  <c r="C71" i="32"/>
  <c r="C69" i="32"/>
  <c r="C67" i="32"/>
  <c r="G85" i="32"/>
  <c r="G83" i="32"/>
  <c r="G80" i="32"/>
  <c r="G78" i="32"/>
  <c r="G75" i="32"/>
  <c r="G71" i="32"/>
  <c r="G69" i="32"/>
  <c r="G67" i="32"/>
  <c r="K85" i="32"/>
  <c r="K83" i="32"/>
  <c r="K80" i="32"/>
  <c r="K78" i="32"/>
  <c r="K75" i="32"/>
  <c r="K72" i="32"/>
  <c r="K71" i="32"/>
  <c r="K69" i="32"/>
  <c r="K67" i="32"/>
  <c r="O85" i="32"/>
  <c r="O83" i="32"/>
  <c r="O80" i="32"/>
  <c r="O78" i="32"/>
  <c r="O75" i="32"/>
  <c r="O72" i="32"/>
  <c r="O71" i="32"/>
  <c r="O69" i="32"/>
  <c r="O67" i="32"/>
  <c r="S85" i="32"/>
  <c r="S83" i="32"/>
  <c r="S80" i="32"/>
  <c r="S78" i="32"/>
  <c r="S75" i="32"/>
  <c r="S72" i="32"/>
  <c r="S71" i="32"/>
  <c r="S69" i="32"/>
  <c r="S67" i="32"/>
  <c r="G66" i="32"/>
  <c r="O66" i="32"/>
  <c r="G68" i="32"/>
  <c r="O68" i="32"/>
  <c r="G70" i="32"/>
  <c r="O70" i="32"/>
  <c r="G73" i="32"/>
  <c r="O73" i="32"/>
  <c r="G76" i="32"/>
  <c r="O76" i="32"/>
  <c r="G79" i="32"/>
  <c r="O79" i="32"/>
  <c r="G82" i="32"/>
  <c r="O82" i="32"/>
  <c r="G84" i="32"/>
  <c r="O84" i="32"/>
  <c r="E84" i="32"/>
  <c r="E82" i="32"/>
  <c r="E79" i="32"/>
  <c r="E76" i="32"/>
  <c r="E73" i="32"/>
  <c r="E70" i="32"/>
  <c r="E68" i="32"/>
  <c r="E66" i="32"/>
  <c r="I84" i="32"/>
  <c r="I82" i="32"/>
  <c r="I79" i="32"/>
  <c r="I76" i="32"/>
  <c r="I73" i="32"/>
  <c r="I70" i="32"/>
  <c r="I68" i="32"/>
  <c r="I66" i="32"/>
  <c r="M84" i="32"/>
  <c r="M82" i="32"/>
  <c r="M79" i="32"/>
  <c r="M76" i="32"/>
  <c r="M73" i="32"/>
  <c r="M70" i="32"/>
  <c r="M68" i="32"/>
  <c r="M66" i="32"/>
  <c r="Q84" i="32"/>
  <c r="Q82" i="32"/>
  <c r="Q79" i="32"/>
  <c r="Q76" i="32"/>
  <c r="Q73" i="32"/>
  <c r="Q70" i="32"/>
  <c r="Q68" i="32"/>
  <c r="Q66" i="32"/>
  <c r="C66" i="32"/>
  <c r="K66" i="32"/>
  <c r="S66" i="32"/>
  <c r="I67" i="32"/>
  <c r="Q67" i="32"/>
  <c r="C68" i="32"/>
  <c r="K68" i="32"/>
  <c r="S68" i="32"/>
  <c r="I69" i="32"/>
  <c r="Q69" i="32"/>
  <c r="C70" i="32"/>
  <c r="K70" i="32"/>
  <c r="S70" i="32"/>
  <c r="I71" i="32"/>
  <c r="Q71" i="32"/>
  <c r="I72" i="32"/>
  <c r="Q72" i="32"/>
  <c r="C73" i="32"/>
  <c r="K73" i="32"/>
  <c r="S73" i="32"/>
  <c r="I75" i="32"/>
  <c r="Q75" i="32"/>
  <c r="C76" i="32"/>
  <c r="K76" i="32"/>
  <c r="S76" i="32"/>
  <c r="I78" i="32"/>
  <c r="Q78" i="32"/>
  <c r="C79" i="32"/>
  <c r="K79" i="32"/>
  <c r="S79" i="32"/>
  <c r="I80" i="32"/>
  <c r="Q80" i="32"/>
  <c r="C82" i="32"/>
  <c r="K82" i="32"/>
  <c r="S82" i="32"/>
  <c r="I83" i="32"/>
  <c r="Q83" i="32"/>
  <c r="C84" i="32"/>
  <c r="K84" i="32"/>
  <c r="S84" i="32"/>
  <c r="I85" i="32"/>
  <c r="Q85" i="32"/>
  <c r="E84" i="31"/>
  <c r="E82" i="31"/>
  <c r="E79" i="31"/>
  <c r="E76" i="31"/>
  <c r="E73" i="31"/>
  <c r="E70" i="31"/>
  <c r="E68" i="31"/>
  <c r="E66" i="31"/>
  <c r="I84" i="31"/>
  <c r="I82" i="31"/>
  <c r="I79" i="31"/>
  <c r="I76" i="31"/>
  <c r="I73" i="31"/>
  <c r="I70" i="31"/>
  <c r="I68" i="31"/>
  <c r="I66" i="31"/>
  <c r="M84" i="31"/>
  <c r="M82" i="31"/>
  <c r="M79" i="31"/>
  <c r="M76" i="31"/>
  <c r="M73" i="31"/>
  <c r="M70" i="31"/>
  <c r="M68" i="31"/>
  <c r="M66" i="31"/>
  <c r="Q84" i="31"/>
  <c r="Q82" i="31"/>
  <c r="Q79" i="31"/>
  <c r="Q76" i="31"/>
  <c r="Q73" i="31"/>
  <c r="Q70" i="31"/>
  <c r="Q68" i="31"/>
  <c r="Q66" i="31"/>
  <c r="I67" i="31"/>
  <c r="Q67" i="31"/>
  <c r="I69" i="31"/>
  <c r="Q69" i="31"/>
  <c r="I71" i="31"/>
  <c r="Q71" i="31"/>
  <c r="I72" i="31"/>
  <c r="Q72" i="31"/>
  <c r="I75" i="31"/>
  <c r="Q75" i="31"/>
  <c r="I78" i="31"/>
  <c r="Q78" i="31"/>
  <c r="I80" i="31"/>
  <c r="Q80" i="31"/>
  <c r="I83" i="31"/>
  <c r="Q83" i="31"/>
  <c r="I85" i="31"/>
  <c r="Q85" i="31"/>
  <c r="C85" i="31"/>
  <c r="C83" i="31"/>
  <c r="C80" i="31"/>
  <c r="C78" i="31"/>
  <c r="C75" i="31"/>
  <c r="C71" i="31"/>
  <c r="C69" i="31"/>
  <c r="C67" i="31"/>
  <c r="G85" i="31"/>
  <c r="G83" i="31"/>
  <c r="G80" i="31"/>
  <c r="G78" i="31"/>
  <c r="G75" i="31"/>
  <c r="G71" i="31"/>
  <c r="G69" i="31"/>
  <c r="G67" i="31"/>
  <c r="K85" i="31"/>
  <c r="K83" i="31"/>
  <c r="K80" i="31"/>
  <c r="K78" i="31"/>
  <c r="K75" i="31"/>
  <c r="K72" i="31"/>
  <c r="K71" i="31"/>
  <c r="K69" i="31"/>
  <c r="K67" i="31"/>
  <c r="O85" i="31"/>
  <c r="O83" i="31"/>
  <c r="O80" i="31"/>
  <c r="O78" i="31"/>
  <c r="O75" i="31"/>
  <c r="O72" i="31"/>
  <c r="O71" i="31"/>
  <c r="O69" i="31"/>
  <c r="O67" i="31"/>
  <c r="S85" i="31"/>
  <c r="S83" i="31"/>
  <c r="S80" i="31"/>
  <c r="S78" i="31"/>
  <c r="S75" i="31"/>
  <c r="S72" i="31"/>
  <c r="S71" i="31"/>
  <c r="S69" i="31"/>
  <c r="S67" i="31"/>
  <c r="G66" i="31"/>
  <c r="O66" i="31"/>
  <c r="E67" i="31"/>
  <c r="M67" i="31"/>
  <c r="G68" i="31"/>
  <c r="O68" i="31"/>
  <c r="E69" i="31"/>
  <c r="M69" i="31"/>
  <c r="G70" i="31"/>
  <c r="O70" i="31"/>
  <c r="E71" i="31"/>
  <c r="M71" i="31"/>
  <c r="M72" i="31"/>
  <c r="G73" i="31"/>
  <c r="O73" i="31"/>
  <c r="E75" i="31"/>
  <c r="M75" i="31"/>
  <c r="G76" i="31"/>
  <c r="O76" i="31"/>
  <c r="E78" i="31"/>
  <c r="M78" i="31"/>
  <c r="G79" i="31"/>
  <c r="O79" i="31"/>
  <c r="E80" i="31"/>
  <c r="M80" i="31"/>
  <c r="G82" i="31"/>
  <c r="O82" i="31"/>
  <c r="E83" i="31"/>
  <c r="M83" i="31"/>
  <c r="G84" i="31"/>
  <c r="O84" i="31"/>
  <c r="E85" i="31"/>
  <c r="M85" i="31"/>
  <c r="E85" i="30"/>
  <c r="E83" i="30"/>
  <c r="E80" i="30"/>
  <c r="E77" i="30"/>
  <c r="E74" i="30"/>
  <c r="E71" i="30"/>
  <c r="E69" i="30"/>
  <c r="E67" i="30"/>
  <c r="I85" i="30"/>
  <c r="I83" i="30"/>
  <c r="I80" i="30"/>
  <c r="I77" i="30"/>
  <c r="I74" i="30"/>
  <c r="I71" i="30"/>
  <c r="I69" i="30"/>
  <c r="I67" i="30"/>
  <c r="M85" i="30"/>
  <c r="M83" i="30"/>
  <c r="M80" i="30"/>
  <c r="M77" i="30"/>
  <c r="M74" i="30"/>
  <c r="M71" i="30"/>
  <c r="M69" i="30"/>
  <c r="M67" i="30"/>
  <c r="Q85" i="30"/>
  <c r="Q83" i="30"/>
  <c r="Q80" i="30"/>
  <c r="Q77" i="30"/>
  <c r="Q74" i="30"/>
  <c r="Q71" i="30"/>
  <c r="Q69" i="30"/>
  <c r="Q67" i="30"/>
  <c r="I68" i="30"/>
  <c r="Q68" i="30"/>
  <c r="I70" i="30"/>
  <c r="Q70" i="30"/>
  <c r="I72" i="30"/>
  <c r="Q72" i="30"/>
  <c r="I73" i="30"/>
  <c r="Q73" i="30"/>
  <c r="I76" i="30"/>
  <c r="Q76" i="30"/>
  <c r="I79" i="30"/>
  <c r="Q79" i="30"/>
  <c r="I81" i="30"/>
  <c r="Q81" i="30"/>
  <c r="I84" i="30"/>
  <c r="Q84" i="30"/>
  <c r="I86" i="30"/>
  <c r="Q86" i="30"/>
  <c r="C86" i="30"/>
  <c r="C84" i="30"/>
  <c r="C81" i="30"/>
  <c r="C79" i="30"/>
  <c r="C76" i="30"/>
  <c r="C72" i="30"/>
  <c r="C70" i="30"/>
  <c r="C68" i="30"/>
  <c r="G86" i="30"/>
  <c r="G84" i="30"/>
  <c r="G81" i="30"/>
  <c r="G79" i="30"/>
  <c r="G76" i="30"/>
  <c r="G72" i="30"/>
  <c r="G70" i="30"/>
  <c r="G68" i="30"/>
  <c r="K86" i="30"/>
  <c r="K84" i="30"/>
  <c r="K81" i="30"/>
  <c r="K79" i="30"/>
  <c r="K76" i="30"/>
  <c r="K73" i="30"/>
  <c r="K72" i="30"/>
  <c r="K70" i="30"/>
  <c r="K68" i="30"/>
  <c r="O86" i="30"/>
  <c r="O84" i="30"/>
  <c r="O81" i="30"/>
  <c r="O79" i="30"/>
  <c r="O76" i="30"/>
  <c r="O73" i="30"/>
  <c r="O72" i="30"/>
  <c r="O70" i="30"/>
  <c r="O68" i="30"/>
  <c r="S86" i="30"/>
  <c r="S84" i="30"/>
  <c r="S81" i="30"/>
  <c r="S79" i="30"/>
  <c r="S76" i="30"/>
  <c r="S73" i="30"/>
  <c r="S72" i="30"/>
  <c r="S70" i="30"/>
  <c r="S68" i="30"/>
  <c r="G67" i="30"/>
  <c r="O67" i="30"/>
  <c r="E68" i="30"/>
  <c r="M68" i="30"/>
  <c r="G69" i="30"/>
  <c r="O69" i="30"/>
  <c r="E70" i="30"/>
  <c r="M70" i="30"/>
  <c r="G71" i="30"/>
  <c r="O71" i="30"/>
  <c r="E72" i="30"/>
  <c r="M72" i="30"/>
  <c r="M73" i="30"/>
  <c r="G74" i="30"/>
  <c r="O74" i="30"/>
  <c r="E76" i="30"/>
  <c r="M76" i="30"/>
  <c r="G77" i="30"/>
  <c r="O77" i="30"/>
  <c r="E79" i="30"/>
  <c r="M79" i="30"/>
  <c r="G80" i="30"/>
  <c r="O80" i="30"/>
  <c r="E81" i="30"/>
  <c r="M81" i="30"/>
  <c r="G83" i="30"/>
  <c r="O83" i="30"/>
  <c r="E84" i="30"/>
  <c r="M84" i="30"/>
  <c r="G85" i="30"/>
  <c r="O85" i="30"/>
  <c r="E86" i="30"/>
  <c r="M86" i="30"/>
  <c r="E75" i="29"/>
  <c r="E73" i="29"/>
  <c r="E70" i="29"/>
  <c r="E67" i="29"/>
  <c r="E64" i="29"/>
  <c r="E61" i="29"/>
  <c r="E59" i="29"/>
  <c r="E57" i="29"/>
  <c r="I75" i="29"/>
  <c r="I73" i="29"/>
  <c r="I70" i="29"/>
  <c r="I67" i="29"/>
  <c r="I64" i="29"/>
  <c r="I61" i="29"/>
  <c r="I59" i="29"/>
  <c r="I57" i="29"/>
  <c r="M75" i="29"/>
  <c r="M73" i="29"/>
  <c r="M70" i="29"/>
  <c r="M67" i="29"/>
  <c r="M64" i="29"/>
  <c r="M61" i="29"/>
  <c r="M59" i="29"/>
  <c r="M57" i="29"/>
  <c r="Q75" i="29"/>
  <c r="Q73" i="29"/>
  <c r="Q70" i="29"/>
  <c r="Q67" i="29"/>
  <c r="Q64" i="29"/>
  <c r="Q61" i="29"/>
  <c r="Q59" i="29"/>
  <c r="Q57" i="29"/>
  <c r="I58" i="29"/>
  <c r="Q58" i="29"/>
  <c r="I60" i="29"/>
  <c r="Q60" i="29"/>
  <c r="I62" i="29"/>
  <c r="Q62" i="29"/>
  <c r="I63" i="29"/>
  <c r="Q63" i="29"/>
  <c r="I66" i="29"/>
  <c r="Q66" i="29"/>
  <c r="I69" i="29"/>
  <c r="Q69" i="29"/>
  <c r="I71" i="29"/>
  <c r="Q71" i="29"/>
  <c r="I74" i="29"/>
  <c r="Q74" i="29"/>
  <c r="I76" i="29"/>
  <c r="Q76" i="29"/>
  <c r="C76" i="29"/>
  <c r="C74" i="29"/>
  <c r="C71" i="29"/>
  <c r="C69" i="29"/>
  <c r="C66" i="29"/>
  <c r="C62" i="29"/>
  <c r="C60" i="29"/>
  <c r="C58" i="29"/>
  <c r="G76" i="29"/>
  <c r="G74" i="29"/>
  <c r="G71" i="29"/>
  <c r="G69" i="29"/>
  <c r="G66" i="29"/>
  <c r="G62" i="29"/>
  <c r="G60" i="29"/>
  <c r="G58" i="29"/>
  <c r="K76" i="29"/>
  <c r="K74" i="29"/>
  <c r="K71" i="29"/>
  <c r="K69" i="29"/>
  <c r="K66" i="29"/>
  <c r="K63" i="29"/>
  <c r="K62" i="29"/>
  <c r="K60" i="29"/>
  <c r="K58" i="29"/>
  <c r="O76" i="29"/>
  <c r="O74" i="29"/>
  <c r="O71" i="29"/>
  <c r="O69" i="29"/>
  <c r="O66" i="29"/>
  <c r="O63" i="29"/>
  <c r="O62" i="29"/>
  <c r="O60" i="29"/>
  <c r="O58" i="29"/>
  <c r="S76" i="29"/>
  <c r="S74" i="29"/>
  <c r="S71" i="29"/>
  <c r="S69" i="29"/>
  <c r="S66" i="29"/>
  <c r="S63" i="29"/>
  <c r="S62" i="29"/>
  <c r="S60" i="29"/>
  <c r="S58" i="29"/>
  <c r="G57" i="29"/>
  <c r="O57" i="29"/>
  <c r="E58" i="29"/>
  <c r="M58" i="29"/>
  <c r="G59" i="29"/>
  <c r="O59" i="29"/>
  <c r="E60" i="29"/>
  <c r="M60" i="29"/>
  <c r="G61" i="29"/>
  <c r="O61" i="29"/>
  <c r="E62" i="29"/>
  <c r="M62" i="29"/>
  <c r="M63" i="29"/>
  <c r="G64" i="29"/>
  <c r="O64" i="29"/>
  <c r="E66" i="29"/>
  <c r="M66" i="29"/>
  <c r="G67" i="29"/>
  <c r="O67" i="29"/>
  <c r="E69" i="29"/>
  <c r="M69" i="29"/>
  <c r="G70" i="29"/>
  <c r="O70" i="29"/>
  <c r="E71" i="29"/>
  <c r="M71" i="29"/>
  <c r="G73" i="29"/>
  <c r="O73" i="29"/>
  <c r="E74" i="29"/>
  <c r="M74" i="29"/>
  <c r="G75" i="29"/>
  <c r="O75" i="29"/>
  <c r="E76" i="29"/>
  <c r="M76" i="29"/>
  <c r="S54" i="26"/>
  <c r="Q54" i="26"/>
  <c r="O54" i="26"/>
  <c r="M54" i="26"/>
  <c r="K54" i="26"/>
  <c r="I54" i="26"/>
  <c r="G54" i="26"/>
  <c r="E54" i="26"/>
  <c r="C54" i="26"/>
  <c r="R36" i="26"/>
  <c r="P36" i="26"/>
  <c r="N36" i="26"/>
  <c r="L36" i="26"/>
  <c r="J36" i="26"/>
  <c r="H36" i="26"/>
  <c r="F36" i="26"/>
  <c r="D36" i="26"/>
  <c r="B36" i="26"/>
  <c r="S31" i="26"/>
  <c r="X31" i="26" s="1"/>
  <c r="Q31" i="26"/>
  <c r="O31" i="26"/>
  <c r="M31" i="26"/>
  <c r="K31" i="26"/>
  <c r="I31" i="26"/>
  <c r="G31" i="26"/>
  <c r="E31" i="26"/>
  <c r="C31" i="26"/>
  <c r="R14" i="26"/>
  <c r="W14" i="26" s="1"/>
  <c r="P14" i="26"/>
  <c r="N14" i="26"/>
  <c r="L14" i="26"/>
  <c r="J14" i="26"/>
  <c r="H14" i="26"/>
  <c r="F14" i="26"/>
  <c r="D14" i="26"/>
  <c r="B14" i="26"/>
  <c r="S11" i="25" l="1"/>
  <c r="S76" i="26"/>
  <c r="X54" i="26"/>
  <c r="C76" i="26"/>
  <c r="C74" i="26"/>
  <c r="C71" i="26"/>
  <c r="C69" i="26"/>
  <c r="C66" i="26"/>
  <c r="C62" i="26"/>
  <c r="C60" i="26"/>
  <c r="C58" i="26"/>
  <c r="C75" i="26"/>
  <c r="C73" i="26"/>
  <c r="C70" i="26"/>
  <c r="C67" i="26"/>
  <c r="C64" i="26"/>
  <c r="C61" i="26"/>
  <c r="C59" i="26"/>
  <c r="C57" i="26"/>
  <c r="G76" i="26"/>
  <c r="G74" i="26"/>
  <c r="G71" i="26"/>
  <c r="G69" i="26"/>
  <c r="G66" i="26"/>
  <c r="G62" i="26"/>
  <c r="G60" i="26"/>
  <c r="G58" i="26"/>
  <c r="G75" i="26"/>
  <c r="G73" i="26"/>
  <c r="G70" i="26"/>
  <c r="G67" i="26"/>
  <c r="G64" i="26"/>
  <c r="G61" i="26"/>
  <c r="G59" i="26"/>
  <c r="G57" i="26"/>
  <c r="K76" i="26"/>
  <c r="K74" i="26"/>
  <c r="K71" i="26"/>
  <c r="K69" i="26"/>
  <c r="K66" i="26"/>
  <c r="K63" i="26"/>
  <c r="K62" i="26"/>
  <c r="K60" i="26"/>
  <c r="K58" i="26"/>
  <c r="K75" i="26"/>
  <c r="K73" i="26"/>
  <c r="K70" i="26"/>
  <c r="K67" i="26"/>
  <c r="K64" i="26"/>
  <c r="K61" i="26"/>
  <c r="K59" i="26"/>
  <c r="K57" i="26"/>
  <c r="O76" i="26"/>
  <c r="O74" i="26"/>
  <c r="O71" i="26"/>
  <c r="O69" i="26"/>
  <c r="O66" i="26"/>
  <c r="O63" i="26"/>
  <c r="O62" i="26"/>
  <c r="O60" i="26"/>
  <c r="O58" i="26"/>
  <c r="O75" i="26"/>
  <c r="O73" i="26"/>
  <c r="O70" i="26"/>
  <c r="O67" i="26"/>
  <c r="O64" i="26"/>
  <c r="O61" i="26"/>
  <c r="O59" i="26"/>
  <c r="O57" i="26"/>
  <c r="E75" i="26"/>
  <c r="E73" i="26"/>
  <c r="E70" i="26"/>
  <c r="E67" i="26"/>
  <c r="E64" i="26"/>
  <c r="E61" i="26"/>
  <c r="E59" i="26"/>
  <c r="E57" i="26"/>
  <c r="E76" i="26"/>
  <c r="E74" i="26"/>
  <c r="E71" i="26"/>
  <c r="E69" i="26"/>
  <c r="E66" i="26"/>
  <c r="E62" i="26"/>
  <c r="E60" i="26"/>
  <c r="E58" i="26"/>
  <c r="I75" i="26"/>
  <c r="I73" i="26"/>
  <c r="I70" i="26"/>
  <c r="I67" i="26"/>
  <c r="I64" i="26"/>
  <c r="I61" i="26"/>
  <c r="I59" i="26"/>
  <c r="I57" i="26"/>
  <c r="I76" i="26"/>
  <c r="I74" i="26"/>
  <c r="I71" i="26"/>
  <c r="I69" i="26"/>
  <c r="I66" i="26"/>
  <c r="I63" i="26"/>
  <c r="I62" i="26"/>
  <c r="I60" i="26"/>
  <c r="I58" i="26"/>
  <c r="M75" i="26"/>
  <c r="M73" i="26"/>
  <c r="M70" i="26"/>
  <c r="M67" i="26"/>
  <c r="M64" i="26"/>
  <c r="M61" i="26"/>
  <c r="M59" i="26"/>
  <c r="M57" i="26"/>
  <c r="M76" i="26"/>
  <c r="M74" i="26"/>
  <c r="M71" i="26"/>
  <c r="M69" i="26"/>
  <c r="M66" i="26"/>
  <c r="M63" i="26"/>
  <c r="M62" i="26"/>
  <c r="M60" i="26"/>
  <c r="M58" i="26"/>
  <c r="Q75" i="26"/>
  <c r="Q73" i="26"/>
  <c r="Q70" i="26"/>
  <c r="Q67" i="26"/>
  <c r="Q64" i="26"/>
  <c r="Q61" i="26"/>
  <c r="Q59" i="26"/>
  <c r="Q57" i="26"/>
  <c r="Q76" i="26"/>
  <c r="Q74" i="26"/>
  <c r="Q71" i="26"/>
  <c r="Q69" i="26"/>
  <c r="Q66" i="26"/>
  <c r="Q63" i="26"/>
  <c r="Q62" i="26"/>
  <c r="Q60" i="26"/>
  <c r="Q58" i="26"/>
  <c r="S57" i="26"/>
  <c r="S59" i="26"/>
  <c r="S61" i="26"/>
  <c r="S64" i="26"/>
  <c r="S67" i="26"/>
  <c r="S70" i="26"/>
  <c r="S73" i="26"/>
  <c r="S75" i="26"/>
  <c r="S58" i="26"/>
  <c r="S60" i="26"/>
  <c r="S62" i="26"/>
  <c r="S63" i="26"/>
  <c r="S66" i="26"/>
  <c r="S69" i="26"/>
  <c r="S71" i="26"/>
  <c r="S74" i="26"/>
  <c r="P39" i="4" l="1"/>
  <c r="N39" i="4"/>
  <c r="L39" i="4"/>
  <c r="S75" i="5" l="1"/>
  <c r="Q74" i="5"/>
  <c r="O73" i="5"/>
  <c r="M76" i="5"/>
  <c r="K75" i="5"/>
  <c r="I74" i="5"/>
  <c r="G73" i="5"/>
  <c r="E76" i="5"/>
  <c r="C75" i="5"/>
  <c r="R36" i="5"/>
  <c r="P36" i="5"/>
  <c r="N36" i="5"/>
  <c r="L36" i="5"/>
  <c r="J36" i="5"/>
  <c r="H36" i="5"/>
  <c r="F36" i="5"/>
  <c r="D36" i="5"/>
  <c r="B36" i="5"/>
  <c r="S31" i="5"/>
  <c r="Q31" i="5"/>
  <c r="O31" i="5"/>
  <c r="M31" i="5"/>
  <c r="K31" i="5"/>
  <c r="I31" i="5"/>
  <c r="G31" i="5"/>
  <c r="E31" i="5"/>
  <c r="C31" i="5"/>
  <c r="R14" i="5"/>
  <c r="W14" i="5" s="1"/>
  <c r="P14" i="5"/>
  <c r="L14" i="5"/>
  <c r="J14" i="5"/>
  <c r="H14" i="5"/>
  <c r="D14" i="5"/>
  <c r="B14" i="5"/>
  <c r="S56" i="4"/>
  <c r="Q56" i="4"/>
  <c r="Q75" i="4" s="1"/>
  <c r="O56" i="4"/>
  <c r="O78" i="4" s="1"/>
  <c r="M56" i="4"/>
  <c r="M77" i="4" s="1"/>
  <c r="K56" i="4"/>
  <c r="K76" i="4" s="1"/>
  <c r="I56" i="4"/>
  <c r="I75" i="4" s="1"/>
  <c r="G56" i="4"/>
  <c r="G78" i="4" s="1"/>
  <c r="E56" i="4"/>
  <c r="E77" i="4" s="1"/>
  <c r="C56" i="4"/>
  <c r="C76" i="4" s="1"/>
  <c r="R39" i="4"/>
  <c r="D39" i="4"/>
  <c r="B39" i="4"/>
  <c r="S34" i="4"/>
  <c r="Q34" i="4"/>
  <c r="O34" i="4"/>
  <c r="M34" i="4"/>
  <c r="K34" i="4"/>
  <c r="I34" i="4"/>
  <c r="G34" i="4"/>
  <c r="E34" i="4"/>
  <c r="C34" i="4"/>
  <c r="R14" i="4"/>
  <c r="P14" i="4"/>
  <c r="N14" i="4"/>
  <c r="L14" i="4"/>
  <c r="J14" i="4"/>
  <c r="H14" i="4"/>
  <c r="F14" i="4"/>
  <c r="B14" i="4"/>
  <c r="S76" i="4" l="1"/>
  <c r="X56" i="4"/>
  <c r="W14" i="4"/>
  <c r="R11" i="25"/>
  <c r="Q60" i="5"/>
  <c r="E64" i="5"/>
  <c r="S59" i="4"/>
  <c r="Q66" i="4"/>
  <c r="I72" i="4"/>
  <c r="S78" i="4"/>
  <c r="C68" i="4"/>
  <c r="K63" i="4"/>
  <c r="E70" i="5"/>
  <c r="E75" i="5"/>
  <c r="Q62" i="5"/>
  <c r="Q73" i="5"/>
  <c r="Q57" i="5"/>
  <c r="Q67" i="5"/>
  <c r="O57" i="5"/>
  <c r="E60" i="5"/>
  <c r="O60" i="5"/>
  <c r="Q61" i="5"/>
  <c r="I62" i="5"/>
  <c r="O64" i="5"/>
  <c r="Q66" i="5"/>
  <c r="I67" i="5"/>
  <c r="O70" i="5"/>
  <c r="Q71" i="5"/>
  <c r="I73" i="5"/>
  <c r="O75" i="5"/>
  <c r="Q76" i="5"/>
  <c r="G66" i="5"/>
  <c r="G76" i="5"/>
  <c r="G57" i="5"/>
  <c r="I58" i="5"/>
  <c r="I60" i="5"/>
  <c r="I61" i="5"/>
  <c r="G64" i="5"/>
  <c r="I66" i="5"/>
  <c r="G70" i="5"/>
  <c r="I71" i="5"/>
  <c r="G75" i="5"/>
  <c r="I76" i="5"/>
  <c r="G60" i="5"/>
  <c r="G61" i="5"/>
  <c r="G71" i="5"/>
  <c r="I57" i="5"/>
  <c r="Q58" i="5"/>
  <c r="M60" i="5"/>
  <c r="O61" i="5"/>
  <c r="M64" i="5"/>
  <c r="O66" i="5"/>
  <c r="M70" i="5"/>
  <c r="O71" i="5"/>
  <c r="M75" i="5"/>
  <c r="O76" i="5"/>
  <c r="M60" i="4"/>
  <c r="E64" i="4"/>
  <c r="S63" i="4"/>
  <c r="M64" i="4"/>
  <c r="K68" i="4"/>
  <c r="E69" i="4"/>
  <c r="Q72" i="4"/>
  <c r="C73" i="4"/>
  <c r="I77" i="4"/>
  <c r="C59" i="4"/>
  <c r="I62" i="4"/>
  <c r="S68" i="4"/>
  <c r="M69" i="4"/>
  <c r="K73" i="4"/>
  <c r="E75" i="4"/>
  <c r="Q77" i="4"/>
  <c r="C78" i="4"/>
  <c r="K59" i="4"/>
  <c r="E60" i="4"/>
  <c r="Q62" i="4"/>
  <c r="C63" i="4"/>
  <c r="I66" i="4"/>
  <c r="S73" i="4"/>
  <c r="M75" i="4"/>
  <c r="K78" i="4"/>
  <c r="K59" i="5"/>
  <c r="K63" i="5"/>
  <c r="C69" i="5"/>
  <c r="S69" i="5"/>
  <c r="C74" i="5"/>
  <c r="S74" i="5"/>
  <c r="C58" i="5"/>
  <c r="K58" i="5"/>
  <c r="E59" i="5"/>
  <c r="M59" i="5"/>
  <c r="K62" i="5"/>
  <c r="S62" i="5"/>
  <c r="C67" i="5"/>
  <c r="C73" i="5"/>
  <c r="K73" i="5"/>
  <c r="E74" i="5"/>
  <c r="M74" i="5"/>
  <c r="C57" i="5"/>
  <c r="K57" i="5"/>
  <c r="S57" i="5"/>
  <c r="E58" i="5"/>
  <c r="M58" i="5"/>
  <c r="G59" i="5"/>
  <c r="O59" i="5"/>
  <c r="C61" i="5"/>
  <c r="K61" i="5"/>
  <c r="S61" i="5"/>
  <c r="E62" i="5"/>
  <c r="M62" i="5"/>
  <c r="O63" i="5"/>
  <c r="I64" i="5"/>
  <c r="Q64" i="5"/>
  <c r="C66" i="5"/>
  <c r="K66" i="5"/>
  <c r="S66" i="5"/>
  <c r="E67" i="5"/>
  <c r="M67" i="5"/>
  <c r="G69" i="5"/>
  <c r="O69" i="5"/>
  <c r="I70" i="5"/>
  <c r="Q70" i="5"/>
  <c r="C71" i="5"/>
  <c r="K71" i="5"/>
  <c r="S71" i="5"/>
  <c r="E73" i="5"/>
  <c r="M73" i="5"/>
  <c r="G74" i="5"/>
  <c r="O74" i="5"/>
  <c r="I75" i="5"/>
  <c r="Q75" i="5"/>
  <c r="C76" i="5"/>
  <c r="K76" i="5"/>
  <c r="S76" i="5"/>
  <c r="C59" i="5"/>
  <c r="S59" i="5"/>
  <c r="S63" i="5"/>
  <c r="K69" i="5"/>
  <c r="K74" i="5"/>
  <c r="S58" i="5"/>
  <c r="C62" i="5"/>
  <c r="M63" i="5"/>
  <c r="K67" i="5"/>
  <c r="S67" i="5"/>
  <c r="E69" i="5"/>
  <c r="M69" i="5"/>
  <c r="S73" i="5"/>
  <c r="E57" i="5"/>
  <c r="M57" i="5"/>
  <c r="G58" i="5"/>
  <c r="O58" i="5"/>
  <c r="I59" i="5"/>
  <c r="Q59" i="5"/>
  <c r="C60" i="5"/>
  <c r="K60" i="5"/>
  <c r="S60" i="5"/>
  <c r="E61" i="5"/>
  <c r="M61" i="5"/>
  <c r="G62" i="5"/>
  <c r="O62" i="5"/>
  <c r="I63" i="5"/>
  <c r="Q63" i="5"/>
  <c r="C64" i="5"/>
  <c r="K64" i="5"/>
  <c r="S64" i="5"/>
  <c r="E66" i="5"/>
  <c r="M66" i="5"/>
  <c r="G67" i="5"/>
  <c r="O67" i="5"/>
  <c r="I69" i="5"/>
  <c r="Q69" i="5"/>
  <c r="C70" i="5"/>
  <c r="K70" i="5"/>
  <c r="S70" i="5"/>
  <c r="E71" i="5"/>
  <c r="M71" i="5"/>
  <c r="G71" i="4"/>
  <c r="G76" i="4"/>
  <c r="I59" i="4"/>
  <c r="Q59" i="4"/>
  <c r="C60" i="4"/>
  <c r="K60" i="4"/>
  <c r="S60" i="4"/>
  <c r="E61" i="4"/>
  <c r="M61" i="4"/>
  <c r="G62" i="4"/>
  <c r="O62" i="4"/>
  <c r="I63" i="4"/>
  <c r="Q63" i="4"/>
  <c r="C64" i="4"/>
  <c r="K64" i="4"/>
  <c r="S64" i="4"/>
  <c r="E65" i="4"/>
  <c r="M65" i="4"/>
  <c r="G66" i="4"/>
  <c r="O66" i="4"/>
  <c r="I68" i="4"/>
  <c r="Q68" i="4"/>
  <c r="C69" i="4"/>
  <c r="K69" i="4"/>
  <c r="S69" i="4"/>
  <c r="E71" i="4"/>
  <c r="M71" i="4"/>
  <c r="G72" i="4"/>
  <c r="O72" i="4"/>
  <c r="I73" i="4"/>
  <c r="Q73" i="4"/>
  <c r="C75" i="4"/>
  <c r="K75" i="4"/>
  <c r="S75" i="4"/>
  <c r="E76" i="4"/>
  <c r="M76" i="4"/>
  <c r="G77" i="4"/>
  <c r="O77" i="4"/>
  <c r="I78" i="4"/>
  <c r="Q78" i="4"/>
  <c r="O61" i="4"/>
  <c r="G65" i="4"/>
  <c r="O65" i="4"/>
  <c r="O76" i="4"/>
  <c r="E59" i="4"/>
  <c r="M59" i="4"/>
  <c r="G60" i="4"/>
  <c r="O60" i="4"/>
  <c r="I61" i="4"/>
  <c r="Q61" i="4"/>
  <c r="C62" i="4"/>
  <c r="K62" i="4"/>
  <c r="S62" i="4"/>
  <c r="E63" i="4"/>
  <c r="M63" i="4"/>
  <c r="G64" i="4"/>
  <c r="O64" i="4"/>
  <c r="I65" i="4"/>
  <c r="Q65" i="4"/>
  <c r="C66" i="4"/>
  <c r="K66" i="4"/>
  <c r="S66" i="4"/>
  <c r="E68" i="4"/>
  <c r="M68" i="4"/>
  <c r="G69" i="4"/>
  <c r="O69" i="4"/>
  <c r="I71" i="4"/>
  <c r="Q71" i="4"/>
  <c r="C72" i="4"/>
  <c r="K72" i="4"/>
  <c r="S72" i="4"/>
  <c r="E73" i="4"/>
  <c r="M73" i="4"/>
  <c r="G75" i="4"/>
  <c r="O75" i="4"/>
  <c r="I76" i="4"/>
  <c r="Q76" i="4"/>
  <c r="C77" i="4"/>
  <c r="K77" i="4"/>
  <c r="S77" i="4"/>
  <c r="E78" i="4"/>
  <c r="M78" i="4"/>
  <c r="G61" i="4"/>
  <c r="O71" i="4"/>
  <c r="G59" i="4"/>
  <c r="O59" i="4"/>
  <c r="I60" i="4"/>
  <c r="Q60" i="4"/>
  <c r="C61" i="4"/>
  <c r="K61" i="4"/>
  <c r="S61" i="4"/>
  <c r="E62" i="4"/>
  <c r="M62" i="4"/>
  <c r="G63" i="4"/>
  <c r="O63" i="4"/>
  <c r="I64" i="4"/>
  <c r="Q64" i="4"/>
  <c r="C65" i="4"/>
  <c r="K65" i="4"/>
  <c r="S65" i="4"/>
  <c r="E66" i="4"/>
  <c r="M66" i="4"/>
  <c r="G68" i="4"/>
  <c r="O68" i="4"/>
  <c r="I69" i="4"/>
  <c r="Q69" i="4"/>
  <c r="C71" i="4"/>
  <c r="K71" i="4"/>
  <c r="S71" i="4"/>
  <c r="E72" i="4"/>
  <c r="M72" i="4"/>
  <c r="G73" i="4"/>
  <c r="O73" i="4"/>
</calcChain>
</file>

<file path=xl/sharedStrings.xml><?xml version="1.0" encoding="utf-8"?>
<sst xmlns="http://schemas.openxmlformats.org/spreadsheetml/2006/main" count="2050" uniqueCount="195">
  <si>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</si>
  <si>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</si>
  <si>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</si>
  <si>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</si>
  <si>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</si>
  <si>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</si>
  <si>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</si>
  <si>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</si>
  <si>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</si>
  <si>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Five Year Average</t>
  </si>
  <si>
    <t># of</t>
  </si>
  <si>
    <t>Degrees</t>
  </si>
  <si>
    <t xml:space="preserve"># of </t>
  </si>
  <si>
    <t xml:space="preserve">Degrees </t>
  </si>
  <si>
    <t>Majors</t>
  </si>
  <si>
    <t>Conferred</t>
  </si>
  <si>
    <t>Bachelor's Program - Fr/Soph</t>
  </si>
  <si>
    <t>Bachelor's Program - Jr/Sr</t>
  </si>
  <si>
    <t>Total Bach</t>
  </si>
  <si>
    <t xml:space="preserve"> </t>
  </si>
  <si>
    <t>Master's Program</t>
  </si>
  <si>
    <t>Student Credit Hours Generated:</t>
  </si>
  <si>
    <t>Lower Division (0-299 level)</t>
  </si>
  <si>
    <t>Upper Division (300-699 level)</t>
  </si>
  <si>
    <t>Graduate I (700-899 level)</t>
  </si>
  <si>
    <t>Graduate II (900-999 level)</t>
  </si>
  <si>
    <t>Total</t>
  </si>
  <si>
    <t>% Departmental SCH taken by:</t>
  </si>
  <si>
    <t>Fall 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</si>
  <si>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</si>
  <si>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</si>
  <si>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</si>
  <si>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</si>
  <si>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</si>
  <si>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</si>
  <si>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</si>
  <si>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t>Fall 2015</t>
  </si>
  <si>
    <t>N</t>
  </si>
  <si>
    <t>FTE</t>
  </si>
  <si>
    <t>Headcount</t>
  </si>
  <si>
    <t xml:space="preserve">Instructional </t>
  </si>
  <si>
    <t>Full-time</t>
  </si>
  <si>
    <t>Part-time</t>
  </si>
  <si>
    <t>Research/Public Service</t>
  </si>
  <si>
    <t>%</t>
  </si>
  <si>
    <t>White</t>
  </si>
  <si>
    <t>Black</t>
  </si>
  <si>
    <t>Hispanic</t>
  </si>
  <si>
    <t>Native American</t>
  </si>
  <si>
    <t xml:space="preserve">Asian </t>
  </si>
  <si>
    <t>Non-Resident</t>
  </si>
  <si>
    <t>Two or More Races</t>
  </si>
  <si>
    <t>Unknown</t>
  </si>
  <si>
    <t>Gender</t>
  </si>
  <si>
    <t>Male</t>
  </si>
  <si>
    <t>Female</t>
  </si>
  <si>
    <t>Tenure Status</t>
  </si>
  <si>
    <t>Tenure</t>
  </si>
  <si>
    <t>Tenure-Track</t>
  </si>
  <si>
    <t>Non-Tenured</t>
  </si>
  <si>
    <t>Highest Degree</t>
  </si>
  <si>
    <t>Ph. D.</t>
  </si>
  <si>
    <t>M.S.</t>
  </si>
  <si>
    <t>B.S.</t>
  </si>
  <si>
    <t>Other</t>
  </si>
  <si>
    <t xml:space="preserve">Graduate Assistants </t>
  </si>
  <si>
    <t>Master's students</t>
  </si>
  <si>
    <t>PhD students</t>
  </si>
  <si>
    <t>Outcome</t>
  </si>
  <si>
    <t>% Bachelor's Employed</t>
  </si>
  <si>
    <t xml:space="preserve">% Bachelor's Further Education </t>
  </si>
  <si>
    <t>% GTA/GRA</t>
  </si>
  <si>
    <t xml:space="preserve">PhD Time to Completion </t>
  </si>
  <si>
    <t># of Majors &amp; Degrees Conferred</t>
  </si>
  <si>
    <t>ACT</t>
  </si>
  <si>
    <t xml:space="preserve">% Undergrad Major in Research </t>
  </si>
  <si>
    <t>Architectural Engineering - 14.0401</t>
  </si>
  <si>
    <t>Construction Science - 15.1001</t>
  </si>
  <si>
    <t>% Bachelor's Employed- Arch Eng</t>
  </si>
  <si>
    <t xml:space="preserve">% Bachelor's Further Education  - Arch Eng </t>
  </si>
  <si>
    <t>% Bachelor's Further Education  - Con Sci</t>
  </si>
  <si>
    <t>% Bachelor's Employed- Con Sci</t>
  </si>
  <si>
    <t>Average ACT of Majors: Arch Eng</t>
  </si>
  <si>
    <t>Average ACT of Majors: Con Sci</t>
  </si>
  <si>
    <t>Biological Systems Engineering- 14.0301</t>
  </si>
  <si>
    <t>Agricultural/Biological Engineering and Bioengineering- 14.0301</t>
  </si>
  <si>
    <t>Chemical Engineering - 14.0701</t>
  </si>
  <si>
    <t>Doctorate Program</t>
  </si>
  <si>
    <t>Graduate Certificate Program (AQC)</t>
  </si>
  <si>
    <t>Average ACT of Majors: Chemical Engineering</t>
  </si>
  <si>
    <t xml:space="preserve">Average ACT of Majors: Biological Systems Engineering </t>
  </si>
  <si>
    <t>Civil Engineering - 14.0801</t>
  </si>
  <si>
    <t xml:space="preserve">Doctorate Program </t>
  </si>
  <si>
    <t>Graduate Certificate (TENC) - 14.0804</t>
  </si>
  <si>
    <t>Average ACT of Majors: Civil Engineering</t>
  </si>
  <si>
    <t>Computer Sciences, General - 11.0101</t>
  </si>
  <si>
    <t>Minor's Program</t>
  </si>
  <si>
    <t>Masters Program</t>
  </si>
  <si>
    <t>Software Engineering (Computer Programing) - 11.0201</t>
  </si>
  <si>
    <t>Information Systems - 11.0401</t>
  </si>
  <si>
    <t>Average ACT of Majors: Computer Sciences</t>
  </si>
  <si>
    <t xml:space="preserve">Average ACT of Majors: Information Systems </t>
  </si>
  <si>
    <t>Computer Engineering - 14.0901</t>
  </si>
  <si>
    <t xml:space="preserve">Minor's Program in Digital Systems </t>
  </si>
  <si>
    <t>Minor's Program in Embedded Systems</t>
  </si>
  <si>
    <t>Graduate Certificate Program (RTESC)</t>
  </si>
  <si>
    <t xml:space="preserve">Average ACT of Majors: Electrical Engineering </t>
  </si>
  <si>
    <t xml:space="preserve">Average ACT of Majors: Computer Engineering </t>
  </si>
  <si>
    <t>Industrial Engineering - 14.3501</t>
  </si>
  <si>
    <t>Manufacturing Systems 14.3601</t>
  </si>
  <si>
    <t xml:space="preserve">Minor's Program </t>
  </si>
  <si>
    <t>Operation Research - 14.3701</t>
  </si>
  <si>
    <t>Engineering/Industrial Management - 15.1501</t>
  </si>
  <si>
    <t xml:space="preserve">Average ACT of Majors: Industrial Engineering </t>
  </si>
  <si>
    <t>Mechanical Engineering - 14.1901</t>
  </si>
  <si>
    <t>Graduate Certificate Program (CFFL)</t>
  </si>
  <si>
    <t>Nuclear Engineering - 14.2301</t>
  </si>
  <si>
    <t>Professional Minor Program</t>
  </si>
  <si>
    <t xml:space="preserve">Average ACT of Majors: Mechanical Engineering </t>
  </si>
  <si>
    <t>27.6.</t>
  </si>
  <si>
    <t>% Bachelor's Employed-Computer Science</t>
  </si>
  <si>
    <t>% Bachelor's Employed- Information Science</t>
  </si>
  <si>
    <t xml:space="preserve">% Bachelor's Further Education- Computer Science </t>
  </si>
  <si>
    <t>% Bachelor's Further Education - Information Science</t>
  </si>
  <si>
    <t>Department:  General Engineering  (Dean's Office)</t>
  </si>
  <si>
    <t># of Majors &amp; Degrees Conferred:</t>
  </si>
  <si>
    <t>Engineering, Undecided - 24.0102</t>
  </si>
  <si>
    <t>Undergraduate Program</t>
  </si>
  <si>
    <t>EN Graduate Non-Degree DCE</t>
  </si>
  <si>
    <t>xxxxx</t>
  </si>
  <si>
    <t>xxxx</t>
  </si>
  <si>
    <t>Master's students- Computer Science</t>
  </si>
  <si>
    <t>Master's students-Software Engineering</t>
  </si>
  <si>
    <t xml:space="preserve">Master's students-Industrial Engineering </t>
  </si>
  <si>
    <t xml:space="preserve">Master's students-Operations Research </t>
  </si>
  <si>
    <t xml:space="preserve">Master's students-Engineering Mangt </t>
  </si>
  <si>
    <t>Master's students-Mechnical</t>
  </si>
  <si>
    <t>Master's students-Nuclear</t>
  </si>
  <si>
    <t>PhD students- Mechnical</t>
  </si>
  <si>
    <t>PhD students-Nuclear</t>
  </si>
  <si>
    <t>Total Tenure/Tenure Track Faculty (Headcount)</t>
  </si>
  <si>
    <t>Total Instructional FTE</t>
  </si>
  <si>
    <t>Tenured/Tenure Track Faculty with Terminal Degrees</t>
  </si>
  <si>
    <t xml:space="preserve">     Their Undergraduate Majors</t>
  </si>
  <si>
    <t xml:space="preserve">     Their Graduate Majors</t>
  </si>
  <si>
    <t xml:space="preserve">      Non-Majors</t>
  </si>
  <si>
    <t xml:space="preserve">       Non-Majors</t>
  </si>
  <si>
    <t xml:space="preserve">     Non-Majors</t>
  </si>
  <si>
    <t>STATISTICAL OVERVIEW</t>
  </si>
  <si>
    <t>Kansas State University</t>
  </si>
  <si>
    <t>Academic Information</t>
  </si>
  <si>
    <t>Department:  Architectural Engineering &amp; Construction Science</t>
  </si>
  <si>
    <t>Department:  Biological and Agricultural Engineering</t>
  </si>
  <si>
    <t xml:space="preserve">Department:  Chemical Engineering </t>
  </si>
  <si>
    <t xml:space="preserve">Department:  Civil Engineering </t>
  </si>
  <si>
    <t>Department:  Computer Science</t>
  </si>
  <si>
    <t xml:space="preserve">Department:  Electrical and Computing Engineering </t>
  </si>
  <si>
    <t xml:space="preserve">Department:  Industrial and Manufacturing Systems </t>
  </si>
  <si>
    <t xml:space="preserve">Department:  Mechanical and Nuclear Engineering </t>
  </si>
  <si>
    <t xml:space="preserve">Departmental Faculty </t>
  </si>
  <si>
    <t>**Based on November 1st and from HRIS</t>
  </si>
  <si>
    <t>Faculty Information:**</t>
  </si>
  <si>
    <t xml:space="preserve">Research/Public Service </t>
  </si>
  <si>
    <t>Demographics:</t>
  </si>
  <si>
    <t>Race/Ethnicity</t>
  </si>
  <si>
    <t>Student Credit Hours Generated</t>
  </si>
  <si>
    <t>% Departmental SCH taken by</t>
  </si>
  <si>
    <t>Full-Time Instructional Faculty-
(50% or more instruction)</t>
  </si>
  <si>
    <t xml:space="preserve">Race/Ethnicity </t>
  </si>
  <si>
    <t xml:space="preserve">Demographics </t>
  </si>
  <si>
    <t>Race/ Ethnicity</t>
  </si>
  <si>
    <t>Demographics</t>
  </si>
  <si>
    <t>Departmental Faculty</t>
  </si>
  <si>
    <t>Degrees Conferred</t>
  </si>
  <si>
    <t>Fall Majors</t>
  </si>
  <si>
    <t>Number of Undergraduate Majors includes second majors</t>
  </si>
  <si>
    <t>Number of Majors &amp; Degrees Conferred:</t>
  </si>
  <si>
    <t>Bachelor's Program</t>
  </si>
  <si>
    <t>Master's Programs</t>
  </si>
  <si>
    <t>Graduate Certificate Programs</t>
  </si>
  <si>
    <t>% Bachelor's Further Education-</t>
  </si>
  <si>
    <t>Full-Time Instructional Faculty -              (50% or more instruction):</t>
  </si>
  <si>
    <t>Tenured/Tenure Track Faculty with Terminal Degrees (headcount)</t>
  </si>
  <si>
    <t>College of Engineering</t>
  </si>
  <si>
    <t>Graduate Certif Program (BPBC) - 14.0301</t>
  </si>
  <si>
    <t>Graduate Certificate (GENVC) -14.0802</t>
  </si>
  <si>
    <t>FY 2017</t>
  </si>
  <si>
    <t>Fall 2016</t>
  </si>
  <si>
    <t xml:space="preserve">Headcount </t>
  </si>
  <si>
    <t>Electrical Engineering  - 14.1001</t>
  </si>
  <si>
    <t>% Bachelor's Employed- Electrical Eng.</t>
  </si>
  <si>
    <t>% Bachelor's Employed- Computer Eng.</t>
  </si>
  <si>
    <t>% Bachelor's Further Education - Electrical Eng.</t>
  </si>
  <si>
    <t>% Bachelor's Further Education - Computer Eng.</t>
  </si>
  <si>
    <t>Secondary Major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</si>
</sst>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7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/>
      <right style="double">
        <color indexed="64"/>
      </right>
      <top style="medium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/>
      <top style="slantDashDot">
        <color indexed="64"/>
      </top>
      <bottom style="medium">
        <color indexed="64"/>
      </bottom>
      <diagonal/>
    </border>
    <border>
      <left/>
      <right style="double">
        <color indexed="64"/>
      </right>
      <top style="slantDashDot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/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double">
        <color indexed="64"/>
      </right>
      <top style="thin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 style="thin">
        <color auto="1"/>
      </right>
      <top style="slantDashDot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7">
    <xf numFmtId="0" fontId="0" fillId="0" borderId="0"/>
    <xf numFmtId="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" fillId="0" borderId="0"/>
    <xf numFmtId="10" fontId="6" fillId="0" borderId="0" applyFill="0" applyBorder="0" applyAlignment="0" applyProtection="0"/>
    <xf numFmtId="0" fontId="6" fillId="0" borderId="0"/>
    <xf numFmtId="4" fontId="5" fillId="0" borderId="0" applyFont="0" applyFill="0" applyBorder="0" applyAlignment="0" applyProtection="0"/>
  </cellStyleXfs>
  <cellXfs count="98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7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/>
    <xf numFmtId="0" fontId="1" fillId="0" borderId="11" xfId="0" applyFont="1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1" fillId="0" borderId="10" xfId="0" applyFont="1" applyFill="1" applyBorder="1"/>
    <xf numFmtId="0" fontId="1" fillId="0" borderId="12" xfId="0" applyFont="1" applyFill="1" applyBorder="1"/>
    <xf numFmtId="1" fontId="1" fillId="0" borderId="29" xfId="0" applyNumberFormat="1" applyFont="1" applyBorder="1"/>
    <xf numFmtId="1" fontId="1" fillId="0" borderId="28" xfId="0" applyNumberFormat="1" applyFont="1" applyFill="1" applyBorder="1" applyAlignment="1">
      <alignment horizontal="right"/>
    </xf>
    <xf numFmtId="1" fontId="1" fillId="0" borderId="8" xfId="0" applyNumberFormat="1" applyFont="1" applyFill="1" applyBorder="1" applyAlignment="1">
      <alignment horizontal="right"/>
    </xf>
    <xf numFmtId="1" fontId="1" fillId="0" borderId="11" xfId="0" applyNumberFormat="1" applyFont="1" applyFill="1" applyBorder="1" applyAlignment="1">
      <alignment horizontal="right"/>
    </xf>
    <xf numFmtId="1" fontId="0" fillId="0" borderId="0" xfId="0" applyNumberFormat="1"/>
    <xf numFmtId="1" fontId="1" fillId="0" borderId="30" xfId="0" applyNumberFormat="1" applyFont="1" applyFill="1" applyBorder="1"/>
    <xf numFmtId="1" fontId="1" fillId="0" borderId="31" xfId="0" applyNumberFormat="1" applyFont="1" applyFill="1" applyBorder="1" applyAlignment="1">
      <alignment horizontal="right"/>
    </xf>
    <xf numFmtId="1" fontId="1" fillId="0" borderId="31" xfId="0" applyNumberFormat="1" applyFont="1" applyBorder="1" applyAlignment="1">
      <alignment horizontal="right"/>
    </xf>
    <xf numFmtId="1" fontId="1" fillId="0" borderId="16" xfId="0" applyNumberFormat="1" applyFont="1" applyFill="1" applyBorder="1" applyAlignment="1">
      <alignment horizontal="right"/>
    </xf>
    <xf numFmtId="1" fontId="1" fillId="0" borderId="38" xfId="0" applyNumberFormat="1" applyFont="1" applyBorder="1"/>
    <xf numFmtId="1" fontId="1" fillId="0" borderId="39" xfId="0" applyNumberFormat="1" applyFont="1" applyFill="1" applyBorder="1"/>
    <xf numFmtId="0" fontId="4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Border="1"/>
    <xf numFmtId="1" fontId="1" fillId="0" borderId="0" xfId="0" applyNumberFormat="1" applyFont="1" applyFill="1" applyBorder="1"/>
    <xf numFmtId="0" fontId="1" fillId="0" borderId="47" xfId="0" applyFont="1" applyFill="1" applyBorder="1"/>
    <xf numFmtId="0" fontId="1" fillId="0" borderId="49" xfId="0" applyFont="1" applyFill="1" applyBorder="1"/>
    <xf numFmtId="3" fontId="1" fillId="0" borderId="48" xfId="1" applyNumberFormat="1" applyFont="1" applyFill="1" applyBorder="1" applyAlignment="1">
      <alignment horizontal="right"/>
    </xf>
    <xf numFmtId="3" fontId="1" fillId="0" borderId="49" xfId="1" applyNumberFormat="1" applyFont="1" applyFill="1" applyBorder="1" applyAlignment="1">
      <alignment horizontal="right"/>
    </xf>
    <xf numFmtId="0" fontId="1" fillId="0" borderId="50" xfId="0" applyFont="1" applyBorder="1"/>
    <xf numFmtId="3" fontId="1" fillId="0" borderId="46" xfId="0" applyNumberFormat="1" applyFont="1" applyBorder="1"/>
    <xf numFmtId="0" fontId="1" fillId="0" borderId="29" xfId="0" applyFont="1" applyBorder="1"/>
    <xf numFmtId="3" fontId="1" fillId="0" borderId="48" xfId="0" applyNumberFormat="1" applyFont="1" applyFill="1" applyBorder="1"/>
    <xf numFmtId="3" fontId="1" fillId="0" borderId="49" xfId="0" applyNumberFormat="1" applyFont="1" applyFill="1" applyBorder="1"/>
    <xf numFmtId="0" fontId="3" fillId="0" borderId="32" xfId="0" applyFont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Border="1" applyAlignment="1">
      <alignment horizontal="center"/>
    </xf>
    <xf numFmtId="3" fontId="3" fillId="0" borderId="13" xfId="0" applyNumberFormat="1" applyFont="1" applyFill="1" applyBorder="1"/>
    <xf numFmtId="0" fontId="1" fillId="0" borderId="56" xfId="0" applyFont="1" applyBorder="1"/>
    <xf numFmtId="0" fontId="1" fillId="0" borderId="28" xfId="0" applyFont="1" applyBorder="1" applyAlignment="1">
      <alignment horizontal="right"/>
    </xf>
    <xf numFmtId="0" fontId="5" fillId="0" borderId="0" xfId="0" applyFont="1"/>
    <xf numFmtId="1" fontId="1" fillId="0" borderId="6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15" xfId="0" applyFont="1" applyBorder="1"/>
    <xf numFmtId="1" fontId="3" fillId="0" borderId="40" xfId="0" applyNumberFormat="1" applyFont="1" applyFill="1" applyBorder="1" applyAlignment="1">
      <alignment horizontal="left"/>
    </xf>
    <xf numFmtId="1" fontId="2" fillId="0" borderId="0" xfId="0" applyNumberFormat="1" applyFont="1"/>
    <xf numFmtId="0" fontId="1" fillId="0" borderId="32" xfId="0" applyFont="1" applyBorder="1" applyAlignment="1">
      <alignment horizontal="left"/>
    </xf>
    <xf numFmtId="1" fontId="1" fillId="0" borderId="47" xfId="0" applyNumberFormat="1" applyFont="1" applyBorder="1" applyAlignment="1">
      <alignment horizontal="right"/>
    </xf>
    <xf numFmtId="0" fontId="1" fillId="0" borderId="51" xfId="0" applyFont="1" applyBorder="1" applyAlignment="1">
      <alignment horizontal="right"/>
    </xf>
    <xf numFmtId="0" fontId="1" fillId="0" borderId="5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3" fillId="0" borderId="0" xfId="0" applyFont="1" applyFill="1" applyBorder="1"/>
    <xf numFmtId="3" fontId="3" fillId="0" borderId="14" xfId="0" applyNumberFormat="1" applyFont="1" applyBorder="1"/>
    <xf numFmtId="3" fontId="3" fillId="0" borderId="82" xfId="0" applyNumberFormat="1" applyFont="1" applyBorder="1"/>
    <xf numFmtId="3" fontId="3" fillId="0" borderId="82" xfId="0" applyNumberFormat="1" applyFont="1" applyFill="1" applyBorder="1"/>
    <xf numFmtId="0" fontId="3" fillId="0" borderId="40" xfId="0" applyFont="1" applyBorder="1"/>
    <xf numFmtId="0" fontId="1" fillId="2" borderId="62" xfId="0" applyFont="1" applyFill="1" applyBorder="1"/>
    <xf numFmtId="0" fontId="1" fillId="0" borderId="82" xfId="0" applyFont="1" applyBorder="1"/>
    <xf numFmtId="0" fontId="0" fillId="0" borderId="0" xfId="0" applyBorder="1"/>
    <xf numFmtId="1" fontId="1" fillId="0" borderId="19" xfId="0" applyNumberFormat="1" applyFont="1" applyFill="1" applyBorder="1" applyAlignment="1">
      <alignment horizontal="right"/>
    </xf>
    <xf numFmtId="1" fontId="3" fillId="0" borderId="84" xfId="0" applyNumberFormat="1" applyFont="1" applyBorder="1" applyAlignment="1">
      <alignment horizontal="right"/>
    </xf>
    <xf numFmtId="0" fontId="1" fillId="0" borderId="62" xfId="0" applyFont="1" applyFill="1" applyBorder="1"/>
    <xf numFmtId="3" fontId="3" fillId="0" borderId="80" xfId="0" applyNumberFormat="1" applyFont="1" applyFill="1" applyBorder="1"/>
    <xf numFmtId="0" fontId="3" fillId="0" borderId="79" xfId="0" applyFont="1" applyFill="1" applyBorder="1"/>
    <xf numFmtId="0" fontId="3" fillId="0" borderId="78" xfId="0" applyFont="1" applyFill="1" applyBorder="1"/>
    <xf numFmtId="3" fontId="3" fillId="0" borderId="78" xfId="0" applyNumberFormat="1" applyFont="1" applyFill="1" applyBorder="1"/>
    <xf numFmtId="0" fontId="3" fillId="0" borderId="20" xfId="0" applyFont="1" applyBorder="1" applyAlignment="1">
      <alignment horizontal="center"/>
    </xf>
    <xf numFmtId="1" fontId="3" fillId="0" borderId="87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" fontId="3" fillId="0" borderId="88" xfId="0" applyNumberFormat="1" applyFont="1" applyBorder="1" applyAlignment="1">
      <alignment horizontal="right"/>
    </xf>
    <xf numFmtId="1" fontId="1" fillId="0" borderId="43" xfId="0" applyNumberFormat="1" applyFont="1" applyBorder="1" applyAlignment="1">
      <alignment horizontal="right"/>
    </xf>
    <xf numFmtId="0" fontId="3" fillId="0" borderId="54" xfId="0" applyFont="1" applyFill="1" applyBorder="1" applyAlignment="1">
      <alignment horizontal="center"/>
    </xf>
    <xf numFmtId="10" fontId="1" fillId="0" borderId="44" xfId="2" applyFont="1" applyBorder="1" applyAlignment="1">
      <alignment horizontal="right"/>
    </xf>
    <xf numFmtId="10" fontId="1" fillId="0" borderId="48" xfId="2" applyFont="1" applyBorder="1" applyAlignment="1">
      <alignment horizontal="right"/>
    </xf>
    <xf numFmtId="10" fontId="3" fillId="0" borderId="55" xfId="2" applyFont="1" applyFill="1" applyBorder="1" applyAlignment="1">
      <alignment horizontal="center"/>
    </xf>
    <xf numFmtId="10" fontId="3" fillId="0" borderId="27" xfId="2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right"/>
    </xf>
    <xf numFmtId="1" fontId="1" fillId="3" borderId="18" xfId="0" applyNumberFormat="1" applyFont="1" applyFill="1" applyBorder="1" applyAlignment="1">
      <alignment horizontal="right"/>
    </xf>
    <xf numFmtId="1" fontId="1" fillId="3" borderId="9" xfId="0" applyNumberFormat="1" applyFont="1" applyFill="1" applyBorder="1" applyAlignment="1">
      <alignment horizontal="right"/>
    </xf>
    <xf numFmtId="1" fontId="1" fillId="3" borderId="17" xfId="0" applyNumberFormat="1" applyFont="1" applyFill="1" applyBorder="1" applyAlignment="1">
      <alignment horizontal="right"/>
    </xf>
    <xf numFmtId="3" fontId="6" fillId="3" borderId="44" xfId="6" applyNumberFormat="1" applyFont="1" applyFill="1" applyBorder="1" applyAlignment="1">
      <alignment horizontal="right"/>
    </xf>
    <xf numFmtId="3" fontId="6" fillId="3" borderId="48" xfId="6" applyNumberFormat="1" applyFont="1" applyFill="1" applyBorder="1" applyAlignment="1">
      <alignment horizontal="right"/>
    </xf>
    <xf numFmtId="1" fontId="1" fillId="3" borderId="12" xfId="0" applyNumberFormat="1" applyFont="1" applyFill="1" applyBorder="1" applyAlignment="1">
      <alignment horizontal="right"/>
    </xf>
    <xf numFmtId="1" fontId="1" fillId="3" borderId="20" xfId="0" applyNumberFormat="1" applyFont="1" applyFill="1" applyBorder="1" applyAlignment="1">
      <alignment horizontal="right"/>
    </xf>
    <xf numFmtId="1" fontId="1" fillId="2" borderId="8" xfId="0" applyNumberFormat="1" applyFont="1" applyFill="1" applyBorder="1" applyAlignment="1">
      <alignment horizontal="right"/>
    </xf>
    <xf numFmtId="3" fontId="1" fillId="2" borderId="49" xfId="1" applyNumberFormat="1" applyFont="1" applyFill="1" applyBorder="1" applyAlignment="1">
      <alignment horizontal="right"/>
    </xf>
    <xf numFmtId="0" fontId="7" fillId="0" borderId="28" xfId="0" applyFont="1" applyBorder="1"/>
    <xf numFmtId="0" fontId="1" fillId="2" borderId="49" xfId="0" applyFont="1" applyFill="1" applyBorder="1"/>
    <xf numFmtId="0" fontId="1" fillId="2" borderId="47" xfId="0" applyFont="1" applyFill="1" applyBorder="1"/>
    <xf numFmtId="0" fontId="3" fillId="2" borderId="78" xfId="0" applyFont="1" applyFill="1" applyBorder="1"/>
    <xf numFmtId="3" fontId="3" fillId="2" borderId="78" xfId="0" applyNumberFormat="1" applyFont="1" applyFill="1" applyBorder="1"/>
    <xf numFmtId="0" fontId="3" fillId="2" borderId="79" xfId="0" applyFont="1" applyFill="1" applyBorder="1"/>
    <xf numFmtId="3" fontId="3" fillId="2" borderId="80" xfId="0" applyNumberFormat="1" applyFont="1" applyFill="1" applyBorder="1"/>
    <xf numFmtId="1" fontId="1" fillId="2" borderId="11" xfId="0" applyNumberFormat="1" applyFont="1" applyFill="1" applyBorder="1" applyAlignment="1">
      <alignment horizontal="right"/>
    </xf>
    <xf numFmtId="1" fontId="1" fillId="2" borderId="16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0" fontId="7" fillId="0" borderId="28" xfId="0" applyFont="1" applyFill="1" applyBorder="1"/>
    <xf numFmtId="1" fontId="1" fillId="0" borderId="56" xfId="0" applyNumberFormat="1" applyFont="1" applyBorder="1"/>
    <xf numFmtId="1" fontId="0" fillId="0" borderId="0" xfId="0" applyNumberFormat="1" applyBorder="1"/>
    <xf numFmtId="1" fontId="1" fillId="0" borderId="23" xfId="0" applyNumberFormat="1" applyFont="1" applyFill="1" applyBorder="1" applyAlignment="1">
      <alignment horizontal="right"/>
    </xf>
    <xf numFmtId="1" fontId="1" fillId="2" borderId="63" xfId="0" applyNumberFormat="1" applyFont="1" applyFill="1" applyBorder="1" applyAlignment="1">
      <alignment horizontal="right"/>
    </xf>
    <xf numFmtId="1" fontId="1" fillId="2" borderId="65" xfId="0" applyNumberFormat="1" applyFont="1" applyFill="1" applyBorder="1" applyAlignment="1">
      <alignment horizontal="right"/>
    </xf>
    <xf numFmtId="1" fontId="1" fillId="0" borderId="63" xfId="0" applyNumberFormat="1" applyFont="1" applyFill="1" applyBorder="1" applyAlignment="1">
      <alignment horizontal="right"/>
    </xf>
    <xf numFmtId="1" fontId="3" fillId="0" borderId="77" xfId="0" applyNumberFormat="1" applyFont="1" applyFill="1" applyBorder="1" applyAlignment="1">
      <alignment horizontal="right"/>
    </xf>
    <xf numFmtId="1" fontId="3" fillId="0" borderId="89" xfId="0" applyNumberFormat="1" applyFont="1" applyBorder="1" applyAlignment="1">
      <alignment horizontal="right"/>
    </xf>
    <xf numFmtId="1" fontId="3" fillId="0" borderId="90" xfId="0" applyNumberFormat="1" applyFont="1" applyBorder="1" applyAlignment="1">
      <alignment horizontal="right"/>
    </xf>
    <xf numFmtId="1" fontId="1" fillId="0" borderId="60" xfId="0" applyNumberFormat="1" applyFont="1" applyBorder="1" applyAlignment="1">
      <alignment horizontal="right"/>
    </xf>
    <xf numFmtId="1" fontId="1" fillId="0" borderId="28" xfId="0" applyNumberFormat="1" applyFont="1" applyBorder="1" applyAlignment="1">
      <alignment horizontal="right"/>
    </xf>
    <xf numFmtId="0" fontId="3" fillId="0" borderId="79" xfId="0" applyFont="1" applyFill="1" applyBorder="1" applyAlignment="1">
      <alignment wrapText="1"/>
    </xf>
    <xf numFmtId="0" fontId="7" fillId="0" borderId="28" xfId="0" applyFont="1" applyFill="1" applyBorder="1" applyAlignment="1">
      <alignment wrapText="1"/>
    </xf>
    <xf numFmtId="1" fontId="3" fillId="0" borderId="96" xfId="0" applyNumberFormat="1" applyFont="1" applyBorder="1" applyAlignment="1">
      <alignment horizontal="right"/>
    </xf>
    <xf numFmtId="1" fontId="1" fillId="0" borderId="95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101" xfId="0" applyFont="1" applyFill="1" applyBorder="1" applyAlignment="1">
      <alignment horizontal="right"/>
    </xf>
    <xf numFmtId="1" fontId="1" fillId="0" borderId="65" xfId="0" applyNumberFormat="1" applyFont="1" applyFill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1" fontId="1" fillId="0" borderId="106" xfId="0" applyNumberFormat="1" applyFont="1" applyFill="1" applyBorder="1" applyAlignment="1">
      <alignment horizontal="right"/>
    </xf>
    <xf numFmtId="3" fontId="6" fillId="2" borderId="9" xfId="6" applyNumberFormat="1" applyFont="1" applyFill="1" applyBorder="1" applyAlignment="1">
      <alignment horizontal="right"/>
    </xf>
    <xf numFmtId="1" fontId="1" fillId="2" borderId="105" xfId="0" applyNumberFormat="1" applyFont="1" applyFill="1" applyBorder="1" applyAlignment="1">
      <alignment horizontal="right"/>
    </xf>
    <xf numFmtId="3" fontId="6" fillId="2" borderId="107" xfId="6" applyNumberFormat="1" applyFont="1" applyFill="1" applyBorder="1" applyAlignment="1">
      <alignment horizontal="right"/>
    </xf>
    <xf numFmtId="0" fontId="1" fillId="4" borderId="11" xfId="0" applyFont="1" applyFill="1" applyBorder="1"/>
    <xf numFmtId="0" fontId="1" fillId="4" borderId="8" xfId="0" applyFont="1" applyFill="1" applyBorder="1"/>
    <xf numFmtId="0" fontId="1" fillId="4" borderId="10" xfId="0" applyFont="1" applyFill="1" applyBorder="1"/>
    <xf numFmtId="1" fontId="1" fillId="0" borderId="60" xfId="0" applyNumberFormat="1" applyFont="1" applyFill="1" applyBorder="1" applyAlignment="1">
      <alignment horizontal="right"/>
    </xf>
    <xf numFmtId="1" fontId="1" fillId="0" borderId="32" xfId="0" applyNumberFormat="1" applyFont="1" applyBorder="1" applyAlignment="1">
      <alignment horizontal="right"/>
    </xf>
    <xf numFmtId="1" fontId="1" fillId="0" borderId="36" xfId="0" applyNumberFormat="1" applyFont="1" applyFill="1" applyBorder="1" applyAlignment="1">
      <alignment horizontal="right"/>
    </xf>
    <xf numFmtId="1" fontId="1" fillId="0" borderId="33" xfId="0" applyNumberFormat="1" applyFont="1" applyFill="1" applyBorder="1" applyAlignment="1">
      <alignment horizontal="right"/>
    </xf>
    <xf numFmtId="0" fontId="7" fillId="0" borderId="28" xfId="0" applyFont="1" applyFill="1" applyBorder="1" applyAlignment="1">
      <alignment horizontal="left"/>
    </xf>
    <xf numFmtId="0" fontId="1" fillId="0" borderId="97" xfId="0" applyFont="1" applyFill="1" applyBorder="1"/>
    <xf numFmtId="0" fontId="1" fillId="0" borderId="108" xfId="0" applyFont="1" applyFill="1" applyBorder="1"/>
    <xf numFmtId="0" fontId="1" fillId="0" borderId="23" xfId="0" applyFont="1" applyFill="1" applyBorder="1" applyAlignment="1">
      <alignment horizontal="right"/>
    </xf>
    <xf numFmtId="0" fontId="1" fillId="0" borderId="70" xfId="0" applyFont="1" applyFill="1" applyBorder="1" applyAlignment="1">
      <alignment horizontal="right"/>
    </xf>
    <xf numFmtId="0" fontId="7" fillId="0" borderId="23" xfId="0" applyFont="1" applyFill="1" applyBorder="1" applyAlignment="1">
      <alignment wrapText="1"/>
    </xf>
    <xf numFmtId="0" fontId="1" fillId="0" borderId="65" xfId="0" applyFont="1" applyFill="1" applyBorder="1"/>
    <xf numFmtId="0" fontId="1" fillId="0" borderId="63" xfId="0" applyFont="1" applyFill="1" applyBorder="1"/>
    <xf numFmtId="1" fontId="1" fillId="0" borderId="32" xfId="0" applyNumberFormat="1" applyFont="1" applyFill="1" applyBorder="1" applyAlignment="1">
      <alignment horizontal="right"/>
    </xf>
    <xf numFmtId="1" fontId="1" fillId="2" borderId="33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3" fontId="1" fillId="0" borderId="10" xfId="1" applyNumberFormat="1" applyFont="1" applyFill="1" applyBorder="1" applyAlignment="1">
      <alignment horizontal="right"/>
    </xf>
    <xf numFmtId="3" fontId="1" fillId="0" borderId="9" xfId="1" applyNumberFormat="1" applyFont="1" applyFill="1" applyBorder="1" applyAlignment="1">
      <alignment horizontal="right"/>
    </xf>
    <xf numFmtId="0" fontId="1" fillId="5" borderId="11" xfId="0" applyFont="1" applyFill="1" applyBorder="1"/>
    <xf numFmtId="3" fontId="1" fillId="5" borderId="10" xfId="1" applyNumberFormat="1" applyFont="1" applyFill="1" applyBorder="1" applyAlignment="1">
      <alignment horizontal="center"/>
    </xf>
    <xf numFmtId="3" fontId="1" fillId="4" borderId="71" xfId="1" applyNumberFormat="1" applyFont="1" applyFill="1" applyBorder="1" applyAlignment="1">
      <alignment horizontal="right"/>
    </xf>
    <xf numFmtId="0" fontId="1" fillId="4" borderId="109" xfId="0" applyFont="1" applyFill="1" applyBorder="1"/>
    <xf numFmtId="0" fontId="1" fillId="0" borderId="72" xfId="0" applyFont="1" applyFill="1" applyBorder="1"/>
    <xf numFmtId="3" fontId="1" fillId="0" borderId="92" xfId="1" applyNumberFormat="1" applyFont="1" applyFill="1" applyBorder="1" applyAlignment="1">
      <alignment horizontal="right"/>
    </xf>
    <xf numFmtId="0" fontId="1" fillId="0" borderId="109" xfId="0" applyFont="1" applyFill="1" applyBorder="1"/>
    <xf numFmtId="0" fontId="1" fillId="0" borderId="10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108" xfId="0" applyFont="1" applyFill="1" applyBorder="1" applyAlignment="1">
      <alignment horizontal="right"/>
    </xf>
    <xf numFmtId="0" fontId="1" fillId="0" borderId="98" xfId="0" applyFont="1" applyFill="1" applyBorder="1" applyAlignment="1">
      <alignment horizontal="right"/>
    </xf>
    <xf numFmtId="0" fontId="1" fillId="0" borderId="99" xfId="0" applyFont="1" applyFill="1" applyBorder="1" applyAlignment="1">
      <alignment horizontal="right"/>
    </xf>
    <xf numFmtId="0" fontId="1" fillId="0" borderId="97" xfId="0" applyFont="1" applyFill="1" applyBorder="1" applyAlignment="1">
      <alignment horizontal="right"/>
    </xf>
    <xf numFmtId="0" fontId="1" fillId="4" borderId="36" xfId="0" applyFont="1" applyFill="1" applyBorder="1" applyAlignment="1">
      <alignment horizontal="right"/>
    </xf>
    <xf numFmtId="0" fontId="1" fillId="4" borderId="34" xfId="0" applyFont="1" applyFill="1" applyBorder="1" applyAlignment="1">
      <alignment horizontal="right"/>
    </xf>
    <xf numFmtId="0" fontId="1" fillId="0" borderId="33" xfId="0" applyFont="1" applyFill="1" applyBorder="1" applyAlignment="1">
      <alignment horizontal="right"/>
    </xf>
    <xf numFmtId="0" fontId="1" fillId="0" borderId="34" xfId="0" applyFont="1" applyFill="1" applyBorder="1" applyAlignment="1">
      <alignment horizontal="right"/>
    </xf>
    <xf numFmtId="3" fontId="1" fillId="0" borderId="9" xfId="1" applyNumberFormat="1" applyFont="1" applyFill="1" applyBorder="1" applyAlignment="1"/>
    <xf numFmtId="3" fontId="1" fillId="0" borderId="71" xfId="1" applyNumberFormat="1" applyFont="1" applyFill="1" applyBorder="1" applyAlignment="1">
      <alignment horizontal="right"/>
    </xf>
    <xf numFmtId="3" fontId="1" fillId="0" borderId="45" xfId="1" applyNumberFormat="1" applyFont="1" applyFill="1" applyBorder="1" applyAlignment="1">
      <alignment horizontal="right"/>
    </xf>
    <xf numFmtId="3" fontId="1" fillId="0" borderId="44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1" fillId="0" borderId="94" xfId="1" applyNumberFormat="1" applyFont="1" applyFill="1" applyBorder="1" applyAlignment="1">
      <alignment horizontal="right"/>
    </xf>
    <xf numFmtId="0" fontId="1" fillId="0" borderId="36" xfId="0" applyFont="1" applyFill="1" applyBorder="1"/>
    <xf numFmtId="3" fontId="1" fillId="0" borderId="53" xfId="1" applyNumberFormat="1" applyFont="1" applyFill="1" applyBorder="1" applyAlignment="1">
      <alignment horizontal="right"/>
    </xf>
    <xf numFmtId="3" fontId="1" fillId="0" borderId="52" xfId="1" applyNumberFormat="1" applyFont="1" applyFill="1" applyBorder="1" applyAlignment="1">
      <alignment horizontal="right"/>
    </xf>
    <xf numFmtId="0" fontId="1" fillId="0" borderId="33" xfId="0" applyFont="1" applyFill="1" applyBorder="1"/>
    <xf numFmtId="0" fontId="1" fillId="4" borderId="11" xfId="0" applyFont="1" applyFill="1" applyBorder="1" applyAlignment="1">
      <alignment horizontal="right"/>
    </xf>
    <xf numFmtId="3" fontId="1" fillId="4" borderId="49" xfId="1" applyNumberFormat="1" applyFont="1" applyFill="1" applyBorder="1" applyAlignment="1">
      <alignment horizontal="right"/>
    </xf>
    <xf numFmtId="3" fontId="1" fillId="4" borderId="48" xfId="1" applyNumberFormat="1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0" fontId="1" fillId="0" borderId="36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left"/>
    </xf>
    <xf numFmtId="0" fontId="1" fillId="2" borderId="0" xfId="0" applyFont="1" applyFill="1"/>
    <xf numFmtId="0" fontId="3" fillId="2" borderId="64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right"/>
    </xf>
    <xf numFmtId="0" fontId="1" fillId="2" borderId="47" xfId="0" applyFont="1" applyFill="1" applyBorder="1" applyAlignment="1">
      <alignment horizontal="right"/>
    </xf>
    <xf numFmtId="164" fontId="1" fillId="2" borderId="10" xfId="2" applyNumberFormat="1" applyFont="1" applyFill="1" applyBorder="1" applyAlignment="1">
      <alignment horizontal="right"/>
    </xf>
    <xf numFmtId="164" fontId="1" fillId="2" borderId="9" xfId="2" applyNumberFormat="1" applyFont="1" applyFill="1" applyBorder="1" applyAlignment="1">
      <alignment horizontal="right"/>
    </xf>
    <xf numFmtId="0" fontId="1" fillId="2" borderId="49" xfId="0" applyFont="1" applyFill="1" applyBorder="1" applyAlignment="1">
      <alignment horizontal="right"/>
    </xf>
    <xf numFmtId="164" fontId="1" fillId="2" borderId="12" xfId="2" applyNumberFormat="1" applyFont="1" applyFill="1" applyBorder="1" applyAlignment="1">
      <alignment horizontal="right"/>
    </xf>
    <xf numFmtId="0" fontId="1" fillId="2" borderId="59" xfId="0" applyFont="1" applyFill="1" applyBorder="1"/>
    <xf numFmtId="164" fontId="1" fillId="2" borderId="12" xfId="0" applyNumberFormat="1" applyFont="1" applyFill="1" applyBorder="1"/>
    <xf numFmtId="0" fontId="1" fillId="2" borderId="31" xfId="0" applyFont="1" applyFill="1" applyBorder="1" applyAlignment="1">
      <alignment horizontal="right"/>
    </xf>
    <xf numFmtId="0" fontId="1" fillId="2" borderId="61" xfId="0" applyFont="1" applyFill="1" applyBorder="1" applyAlignment="1">
      <alignment horizontal="right"/>
    </xf>
    <xf numFmtId="0" fontId="1" fillId="2" borderId="62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164" fontId="3" fillId="2" borderId="10" xfId="2" applyNumberFormat="1" applyFont="1" applyFill="1" applyBorder="1" applyAlignment="1">
      <alignment horizontal="right"/>
    </xf>
    <xf numFmtId="164" fontId="3" fillId="2" borderId="9" xfId="2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164" fontId="3" fillId="2" borderId="12" xfId="2" applyNumberFormat="1" applyFont="1" applyFill="1" applyBorder="1" applyAlignment="1">
      <alignment horizontal="right"/>
    </xf>
    <xf numFmtId="3" fontId="1" fillId="2" borderId="47" xfId="1" applyNumberFormat="1" applyFont="1" applyFill="1" applyBorder="1" applyAlignment="1">
      <alignment horizontal="right"/>
    </xf>
    <xf numFmtId="3" fontId="1" fillId="2" borderId="11" xfId="1" applyNumberFormat="1" applyFont="1" applyFill="1" applyBorder="1" applyAlignment="1">
      <alignment horizontal="right"/>
    </xf>
    <xf numFmtId="3" fontId="1" fillId="2" borderId="8" xfId="1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70" xfId="0" applyFont="1" applyFill="1" applyBorder="1" applyAlignment="1">
      <alignment horizontal="right"/>
    </xf>
    <xf numFmtId="3" fontId="1" fillId="2" borderId="36" xfId="1" applyNumberFormat="1" applyFont="1" applyFill="1" applyBorder="1" applyAlignment="1">
      <alignment horizontal="right"/>
    </xf>
    <xf numFmtId="164" fontId="1" fillId="2" borderId="35" xfId="2" applyNumberFormat="1" applyFont="1" applyFill="1" applyBorder="1" applyAlignment="1">
      <alignment horizontal="right"/>
    </xf>
    <xf numFmtId="164" fontId="1" fillId="2" borderId="34" xfId="2" applyNumberFormat="1" applyFont="1" applyFill="1" applyBorder="1" applyAlignment="1">
      <alignment horizontal="right"/>
    </xf>
    <xf numFmtId="3" fontId="1" fillId="2" borderId="33" xfId="1" applyNumberFormat="1" applyFont="1" applyFill="1" applyBorder="1" applyAlignment="1">
      <alignment horizontal="right"/>
    </xf>
    <xf numFmtId="164" fontId="1" fillId="2" borderId="37" xfId="2" applyNumberFormat="1" applyFont="1" applyFill="1" applyBorder="1" applyAlignment="1">
      <alignment horizontal="right"/>
    </xf>
    <xf numFmtId="164" fontId="1" fillId="2" borderId="37" xfId="0" applyNumberFormat="1" applyFont="1" applyFill="1" applyBorder="1"/>
    <xf numFmtId="0" fontId="3" fillId="2" borderId="40" xfId="3" applyFont="1" applyFill="1" applyBorder="1"/>
    <xf numFmtId="164" fontId="1" fillId="2" borderId="54" xfId="4" applyNumberFormat="1" applyFont="1" applyFill="1" applyBorder="1"/>
    <xf numFmtId="164" fontId="1" fillId="2" borderId="55" xfId="4" applyNumberFormat="1" applyFont="1" applyFill="1" applyBorder="1"/>
    <xf numFmtId="164" fontId="1" fillId="2" borderId="43" xfId="4" applyNumberFormat="1" applyFont="1" applyFill="1" applyBorder="1"/>
    <xf numFmtId="164" fontId="1" fillId="2" borderId="44" xfId="4" applyNumberFormat="1" applyFont="1" applyFill="1" applyBorder="1"/>
    <xf numFmtId="164" fontId="1" fillId="2" borderId="45" xfId="4" applyNumberFormat="1" applyFont="1" applyFill="1" applyBorder="1"/>
    <xf numFmtId="164" fontId="1" fillId="2" borderId="46" xfId="4" applyNumberFormat="1" applyFont="1" applyFill="1" applyBorder="1"/>
    <xf numFmtId="1" fontId="1" fillId="2" borderId="50" xfId="0" applyNumberFormat="1" applyFont="1" applyFill="1" applyBorder="1"/>
    <xf numFmtId="164" fontId="1" fillId="2" borderId="46" xfId="0" applyNumberFormat="1" applyFont="1" applyFill="1" applyBorder="1"/>
    <xf numFmtId="164" fontId="1" fillId="2" borderId="47" xfId="4" applyNumberFormat="1" applyFont="1" applyFill="1" applyBorder="1"/>
    <xf numFmtId="164" fontId="1" fillId="2" borderId="48" xfId="4" applyNumberFormat="1" applyFont="1" applyFill="1" applyBorder="1"/>
    <xf numFmtId="164" fontId="1" fillId="2" borderId="49" xfId="4" applyNumberFormat="1" applyFont="1" applyFill="1" applyBorder="1"/>
    <xf numFmtId="164" fontId="1" fillId="2" borderId="30" xfId="4" applyNumberFormat="1" applyFont="1" applyFill="1" applyBorder="1"/>
    <xf numFmtId="1" fontId="1" fillId="2" borderId="56" xfId="0" applyNumberFormat="1" applyFont="1" applyFill="1" applyBorder="1"/>
    <xf numFmtId="164" fontId="1" fillId="2" borderId="57" xfId="0" applyNumberFormat="1" applyFont="1" applyFill="1" applyBorder="1"/>
    <xf numFmtId="0" fontId="1" fillId="2" borderId="32" xfId="3" applyFont="1" applyFill="1" applyBorder="1"/>
    <xf numFmtId="0" fontId="3" fillId="2" borderId="40" xfId="0" applyFont="1" applyFill="1" applyBorder="1" applyAlignment="1">
      <alignment horizontal="left"/>
    </xf>
    <xf numFmtId="0" fontId="0" fillId="2" borderId="0" xfId="0" applyFill="1"/>
    <xf numFmtId="0" fontId="1" fillId="2" borderId="79" xfId="0" applyFont="1" applyFill="1" applyBorder="1" applyAlignment="1">
      <alignment horizontal="right"/>
    </xf>
    <xf numFmtId="0" fontId="1" fillId="2" borderId="80" xfId="0" applyFont="1" applyFill="1" applyBorder="1" applyAlignment="1">
      <alignment horizontal="center"/>
    </xf>
    <xf numFmtId="0" fontId="1" fillId="2" borderId="81" xfId="0" applyFont="1" applyFill="1" applyBorder="1" applyAlignment="1">
      <alignment horizontal="center"/>
    </xf>
    <xf numFmtId="3" fontId="3" fillId="2" borderId="76" xfId="1" applyNumberFormat="1" applyFont="1" applyFill="1" applyBorder="1" applyAlignment="1">
      <alignment horizontal="center"/>
    </xf>
    <xf numFmtId="165" fontId="1" fillId="2" borderId="86" xfId="0" applyNumberFormat="1" applyFont="1" applyFill="1" applyBorder="1" applyAlignment="1">
      <alignment horizontal="center"/>
    </xf>
    <xf numFmtId="3" fontId="3" fillId="2" borderId="74" xfId="1" applyNumberFormat="1" applyFont="1" applyFill="1" applyBorder="1" applyAlignment="1">
      <alignment horizontal="center"/>
    </xf>
    <xf numFmtId="164" fontId="3" fillId="2" borderId="75" xfId="2" applyNumberFormat="1" applyFont="1" applyFill="1" applyBorder="1" applyAlignment="1">
      <alignment horizontal="center"/>
    </xf>
    <xf numFmtId="164" fontId="3" fillId="2" borderId="85" xfId="2" applyNumberFormat="1" applyFont="1" applyFill="1" applyBorder="1" applyAlignment="1">
      <alignment horizontal="center"/>
    </xf>
    <xf numFmtId="0" fontId="2" fillId="2" borderId="0" xfId="0" applyFont="1" applyFill="1"/>
    <xf numFmtId="3" fontId="3" fillId="2" borderId="13" xfId="1" applyNumberFormat="1" applyFont="1" applyFill="1" applyBorder="1" applyAlignment="1">
      <alignment horizontal="center"/>
    </xf>
    <xf numFmtId="164" fontId="3" fillId="2" borderId="14" xfId="2" applyNumberFormat="1" applyFont="1" applyFill="1" applyBorder="1" applyAlignment="1">
      <alignment horizontal="center"/>
    </xf>
    <xf numFmtId="0" fontId="1" fillId="2" borderId="60" xfId="0" applyFont="1" applyFill="1" applyBorder="1" applyAlignment="1">
      <alignment horizontal="right"/>
    </xf>
    <xf numFmtId="1" fontId="1" fillId="2" borderId="25" xfId="2" applyNumberFormat="1" applyFont="1" applyFill="1" applyBorder="1" applyAlignment="1">
      <alignment horizontal="center"/>
    </xf>
    <xf numFmtId="10" fontId="1" fillId="2" borderId="24" xfId="2" applyFont="1" applyFill="1" applyBorder="1" applyAlignment="1">
      <alignment horizontal="center"/>
    </xf>
    <xf numFmtId="1" fontId="1" fillId="2" borderId="69" xfId="0" applyNumberFormat="1" applyFont="1" applyFill="1" applyBorder="1" applyAlignment="1">
      <alignment horizontal="center"/>
    </xf>
    <xf numFmtId="165" fontId="1" fillId="2" borderId="12" xfId="0" applyNumberFormat="1" applyFont="1" applyFill="1" applyBorder="1" applyAlignment="1">
      <alignment horizontal="center"/>
    </xf>
    <xf numFmtId="0" fontId="1" fillId="2" borderId="32" xfId="0" applyFont="1" applyFill="1" applyBorder="1" applyAlignment="1">
      <alignment horizontal="right"/>
    </xf>
    <xf numFmtId="1" fontId="1" fillId="2" borderId="36" xfId="2" applyNumberFormat="1" applyFont="1" applyFill="1" applyBorder="1" applyAlignment="1">
      <alignment horizontal="center"/>
    </xf>
    <xf numFmtId="10" fontId="1" fillId="2" borderId="34" xfId="2" applyFont="1" applyFill="1" applyBorder="1" applyAlignment="1">
      <alignment horizontal="center"/>
    </xf>
    <xf numFmtId="10" fontId="1" fillId="2" borderId="37" xfId="2" applyFont="1" applyFill="1" applyBorder="1" applyAlignment="1">
      <alignment horizontal="center"/>
    </xf>
    <xf numFmtId="1" fontId="1" fillId="2" borderId="83" xfId="0" applyNumberFormat="1" applyFont="1" applyFill="1" applyBorder="1" applyAlignment="1">
      <alignment horizontal="center"/>
    </xf>
    <xf numFmtId="165" fontId="1" fillId="2" borderId="37" xfId="0" applyNumberFormat="1" applyFont="1" applyFill="1" applyBorder="1" applyAlignment="1">
      <alignment horizontal="center"/>
    </xf>
    <xf numFmtId="10" fontId="1" fillId="0" borderId="12" xfId="2" applyFont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1" fillId="2" borderId="91" xfId="0" applyFont="1" applyFill="1" applyBorder="1" applyAlignment="1">
      <alignment horizontal="right"/>
    </xf>
    <xf numFmtId="0" fontId="1" fillId="2" borderId="92" xfId="0" applyFont="1" applyFill="1" applyBorder="1" applyAlignment="1">
      <alignment horizontal="center"/>
    </xf>
    <xf numFmtId="0" fontId="1" fillId="2" borderId="93" xfId="0" applyFont="1" applyFill="1" applyBorder="1" applyAlignment="1">
      <alignment horizontal="center"/>
    </xf>
    <xf numFmtId="10" fontId="1" fillId="2" borderId="12" xfId="2" applyFont="1" applyFill="1" applyBorder="1" applyAlignment="1">
      <alignment horizontal="center"/>
    </xf>
    <xf numFmtId="1" fontId="1" fillId="4" borderId="9" xfId="0" applyNumberFormat="1" applyFont="1" applyFill="1" applyBorder="1" applyAlignment="1">
      <alignment horizontal="right"/>
    </xf>
    <xf numFmtId="1" fontId="1" fillId="4" borderId="17" xfId="0" applyNumberFormat="1" applyFont="1" applyFill="1" applyBorder="1" applyAlignment="1">
      <alignment horizontal="right"/>
    </xf>
    <xf numFmtId="1" fontId="1" fillId="4" borderId="10" xfId="0" applyNumberFormat="1" applyFont="1" applyFill="1" applyBorder="1" applyAlignment="1">
      <alignment horizontal="right"/>
    </xf>
    <xf numFmtId="1" fontId="1" fillId="4" borderId="18" xfId="0" applyNumberFormat="1" applyFont="1" applyFill="1" applyBorder="1" applyAlignment="1">
      <alignment horizontal="right"/>
    </xf>
    <xf numFmtId="1" fontId="1" fillId="4" borderId="30" xfId="0" applyNumberFormat="1" applyFont="1" applyFill="1" applyBorder="1"/>
    <xf numFmtId="10" fontId="3" fillId="0" borderId="54" xfId="2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right"/>
    </xf>
    <xf numFmtId="1" fontId="1" fillId="4" borderId="20" xfId="0" applyNumberFormat="1" applyFont="1" applyFill="1" applyBorder="1" applyAlignment="1">
      <alignment horizontal="right"/>
    </xf>
    <xf numFmtId="3" fontId="6" fillId="4" borderId="44" xfId="6" applyNumberFormat="1" applyFont="1" applyFill="1" applyBorder="1" applyAlignment="1">
      <alignment horizontal="right"/>
    </xf>
    <xf numFmtId="3" fontId="6" fillId="4" borderId="48" xfId="6" applyNumberFormat="1" applyFont="1" applyFill="1" applyBorder="1" applyAlignment="1">
      <alignment horizontal="right"/>
    </xf>
    <xf numFmtId="1" fontId="1" fillId="0" borderId="50" xfId="0" applyNumberFormat="1" applyFont="1" applyBorder="1"/>
    <xf numFmtId="1" fontId="1" fillId="0" borderId="46" xfId="0" applyNumberFormat="1" applyFont="1" applyFill="1" applyBorder="1"/>
    <xf numFmtId="1" fontId="1" fillId="0" borderId="110" xfId="0" applyNumberFormat="1" applyFont="1" applyBorder="1"/>
    <xf numFmtId="1" fontId="1" fillId="0" borderId="85" xfId="0" applyNumberFormat="1" applyFont="1" applyFill="1" applyBorder="1"/>
    <xf numFmtId="1" fontId="1" fillId="4" borderId="11" xfId="0" applyNumberFormat="1" applyFont="1" applyFill="1" applyBorder="1" applyAlignment="1">
      <alignment horizontal="right"/>
    </xf>
    <xf numFmtId="1" fontId="1" fillId="4" borderId="57" xfId="0" applyNumberFormat="1" applyFont="1" applyFill="1" applyBorder="1"/>
    <xf numFmtId="1" fontId="1" fillId="0" borderId="76" xfId="0" applyNumberFormat="1" applyFont="1" applyBorder="1"/>
    <xf numFmtId="10" fontId="0" fillId="0" borderId="0" xfId="2" applyFont="1"/>
    <xf numFmtId="10" fontId="3" fillId="0" borderId="13" xfId="2" applyFont="1" applyBorder="1" applyAlignment="1">
      <alignment horizontal="center"/>
    </xf>
    <xf numFmtId="1" fontId="1" fillId="0" borderId="83" xfId="0" applyNumberFormat="1" applyFont="1" applyBorder="1" applyAlignment="1">
      <alignment horizontal="center"/>
    </xf>
    <xf numFmtId="165" fontId="1" fillId="0" borderId="37" xfId="0" applyNumberFormat="1" applyFont="1" applyBorder="1" applyAlignment="1">
      <alignment horizontal="center"/>
    </xf>
    <xf numFmtId="10" fontId="1" fillId="0" borderId="43" xfId="2" applyFont="1" applyBorder="1" applyAlignment="1">
      <alignment horizontal="right"/>
    </xf>
    <xf numFmtId="10" fontId="1" fillId="0" borderId="47" xfId="2" applyFont="1" applyBorder="1" applyAlignment="1">
      <alignment horizontal="right"/>
    </xf>
    <xf numFmtId="10" fontId="1" fillId="0" borderId="69" xfId="2" applyFont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right"/>
    </xf>
    <xf numFmtId="0" fontId="1" fillId="2" borderId="39" xfId="0" applyFont="1" applyFill="1" applyBorder="1" applyAlignment="1">
      <alignment horizontal="center"/>
    </xf>
    <xf numFmtId="0" fontId="3" fillId="2" borderId="40" xfId="0" applyFont="1" applyFill="1" applyBorder="1"/>
    <xf numFmtId="0" fontId="1" fillId="2" borderId="44" xfId="0" applyFont="1" applyFill="1" applyBorder="1" applyAlignment="1">
      <alignment horizontal="center"/>
    </xf>
    <xf numFmtId="3" fontId="1" fillId="2" borderId="48" xfId="1" applyNumberFormat="1" applyFont="1" applyFill="1" applyBorder="1" applyAlignment="1">
      <alignment horizontal="right"/>
    </xf>
    <xf numFmtId="0" fontId="1" fillId="2" borderId="50" xfId="0" applyFont="1" applyFill="1" applyBorder="1"/>
    <xf numFmtId="0" fontId="1" fillId="2" borderId="29" xfId="0" applyFont="1" applyFill="1" applyBorder="1"/>
    <xf numFmtId="3" fontId="1" fillId="2" borderId="49" xfId="0" applyNumberFormat="1" applyFont="1" applyFill="1" applyBorder="1"/>
    <xf numFmtId="3" fontId="1" fillId="2" borderId="48" xfId="0" applyNumberFormat="1" applyFont="1" applyFill="1" applyBorder="1"/>
    <xf numFmtId="3" fontId="1" fillId="2" borderId="30" xfId="0" applyNumberFormat="1" applyFont="1" applyFill="1" applyBorder="1"/>
    <xf numFmtId="3" fontId="1" fillId="2" borderId="57" xfId="0" applyNumberFormat="1" applyFont="1" applyFill="1" applyBorder="1"/>
    <xf numFmtId="0" fontId="3" fillId="2" borderId="32" xfId="0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right"/>
    </xf>
    <xf numFmtId="1" fontId="1" fillId="4" borderId="8" xfId="0" applyNumberFormat="1" applyFont="1" applyFill="1" applyBorder="1" applyAlignment="1">
      <alignment horizontal="right"/>
    </xf>
    <xf numFmtId="1" fontId="1" fillId="4" borderId="66" xfId="0" applyNumberFormat="1" applyFont="1" applyFill="1" applyBorder="1" applyAlignment="1">
      <alignment horizontal="right"/>
    </xf>
    <xf numFmtId="1" fontId="1" fillId="4" borderId="64" xfId="0" applyNumberFormat="1" applyFont="1" applyFill="1" applyBorder="1" applyAlignment="1">
      <alignment horizontal="right"/>
    </xf>
    <xf numFmtId="1" fontId="3" fillId="2" borderId="40" xfId="0" applyNumberFormat="1" applyFont="1" applyFill="1" applyBorder="1" applyAlignment="1">
      <alignment horizontal="left"/>
    </xf>
    <xf numFmtId="1" fontId="1" fillId="2" borderId="43" xfId="0" applyNumberFormat="1" applyFont="1" applyFill="1" applyBorder="1" applyAlignment="1">
      <alignment horizontal="right"/>
    </xf>
    <xf numFmtId="10" fontId="1" fillId="2" borderId="44" xfId="2" applyFont="1" applyFill="1" applyBorder="1" applyAlignment="1">
      <alignment horizontal="right"/>
    </xf>
    <xf numFmtId="3" fontId="1" fillId="2" borderId="46" xfId="0" applyNumberFormat="1" applyFont="1" applyFill="1" applyBorder="1"/>
    <xf numFmtId="3" fontId="3" fillId="2" borderId="81" xfId="0" applyNumberFormat="1" applyFont="1" applyFill="1" applyBorder="1"/>
    <xf numFmtId="0" fontId="1" fillId="2" borderId="56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3" fontId="3" fillId="2" borderId="82" xfId="0" applyNumberFormat="1" applyFont="1" applyFill="1" applyBorder="1"/>
    <xf numFmtId="0" fontId="0" fillId="2" borderId="0" xfId="0" applyFill="1" applyBorder="1"/>
    <xf numFmtId="0" fontId="1" fillId="2" borderId="82" xfId="0" applyFont="1" applyFill="1" applyBorder="1"/>
    <xf numFmtId="3" fontId="1" fillId="2" borderId="14" xfId="0" applyNumberFormat="1" applyFont="1" applyFill="1" applyBorder="1"/>
    <xf numFmtId="0" fontId="1" fillId="2" borderId="76" xfId="0" applyFont="1" applyFill="1" applyBorder="1"/>
    <xf numFmtId="3" fontId="3" fillId="2" borderId="83" xfId="1" applyNumberFormat="1" applyFont="1" applyFill="1" applyBorder="1" applyAlignment="1">
      <alignment horizontal="center"/>
    </xf>
    <xf numFmtId="0" fontId="3" fillId="2" borderId="113" xfId="0" applyFont="1" applyFill="1" applyBorder="1" applyAlignment="1">
      <alignment horizontal="center"/>
    </xf>
    <xf numFmtId="3" fontId="3" fillId="2" borderId="38" xfId="1" applyNumberFormat="1" applyFont="1" applyFill="1" applyBorder="1" applyAlignment="1">
      <alignment horizontal="center"/>
    </xf>
    <xf numFmtId="165" fontId="1" fillId="2" borderId="27" xfId="0" applyNumberFormat="1" applyFont="1" applyFill="1" applyBorder="1" applyAlignment="1">
      <alignment horizontal="center"/>
    </xf>
    <xf numFmtId="165" fontId="1" fillId="2" borderId="39" xfId="0" applyNumberFormat="1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right"/>
    </xf>
    <xf numFmtId="10" fontId="3" fillId="2" borderId="55" xfId="2" applyFont="1" applyFill="1" applyBorder="1" applyAlignment="1">
      <alignment horizontal="right"/>
    </xf>
    <xf numFmtId="0" fontId="3" fillId="2" borderId="54" xfId="0" applyFont="1" applyFill="1" applyBorder="1" applyAlignment="1">
      <alignment horizontal="right"/>
    </xf>
    <xf numFmtId="10" fontId="3" fillId="2" borderId="27" xfId="2" applyFont="1" applyFill="1" applyBorder="1" applyAlignment="1">
      <alignment horizontal="right"/>
    </xf>
    <xf numFmtId="1" fontId="3" fillId="0" borderId="110" xfId="0" applyNumberFormat="1" applyFont="1" applyBorder="1"/>
    <xf numFmtId="1" fontId="3" fillId="0" borderId="85" xfId="0" applyNumberFormat="1" applyFont="1" applyFill="1" applyBorder="1"/>
    <xf numFmtId="1" fontId="3" fillId="0" borderId="76" xfId="0" applyNumberFormat="1" applyFont="1" applyBorder="1"/>
    <xf numFmtId="0" fontId="1" fillId="0" borderId="35" xfId="0" applyFont="1" applyFill="1" applyBorder="1"/>
    <xf numFmtId="0" fontId="1" fillId="0" borderId="34" xfId="0" applyFont="1" applyFill="1" applyBorder="1"/>
    <xf numFmtId="0" fontId="5" fillId="2" borderId="0" xfId="0" applyFont="1" applyFill="1"/>
    <xf numFmtId="0" fontId="1" fillId="2" borderId="112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3" fontId="1" fillId="0" borderId="14" xfId="0" applyNumberFormat="1" applyFont="1" applyBorder="1"/>
    <xf numFmtId="0" fontId="1" fillId="0" borderId="114" xfId="0" applyFont="1" applyBorder="1"/>
    <xf numFmtId="3" fontId="3" fillId="0" borderId="115" xfId="0" applyNumberFormat="1" applyFont="1" applyBorder="1"/>
    <xf numFmtId="0" fontId="1" fillId="0" borderId="76" xfId="0" applyFont="1" applyBorder="1"/>
    <xf numFmtId="3" fontId="3" fillId="0" borderId="81" xfId="0" applyNumberFormat="1" applyFont="1" applyBorder="1"/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5" xfId="0" applyFont="1" applyFill="1" applyBorder="1" applyAlignment="1">
      <alignment horizontal="center"/>
    </xf>
    <xf numFmtId="0" fontId="3" fillId="0" borderId="117" xfId="0" applyFont="1" applyFill="1" applyBorder="1" applyAlignment="1">
      <alignment horizontal="center"/>
    </xf>
    <xf numFmtId="0" fontId="3" fillId="0" borderId="107" xfId="0" applyFont="1" applyFill="1" applyBorder="1" applyAlignment="1">
      <alignment horizontal="center"/>
    </xf>
    <xf numFmtId="0" fontId="3" fillId="0" borderId="10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5" borderId="109" xfId="0" applyFont="1" applyFill="1" applyBorder="1"/>
    <xf numFmtId="0" fontId="1" fillId="5" borderId="118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19" xfId="0" applyFont="1" applyBorder="1" applyAlignment="1">
      <alignment horizontal="center"/>
    </xf>
    <xf numFmtId="0" fontId="3" fillId="0" borderId="120" xfId="0" applyFont="1" applyBorder="1" applyAlignment="1">
      <alignment horizontal="center"/>
    </xf>
    <xf numFmtId="1" fontId="1" fillId="0" borderId="69" xfId="0" applyNumberFormat="1" applyFont="1" applyBorder="1"/>
    <xf numFmtId="0" fontId="1" fillId="0" borderId="12" xfId="0" applyFont="1" applyFill="1" applyBorder="1" applyAlignment="1">
      <alignment horizontal="center"/>
    </xf>
    <xf numFmtId="1" fontId="1" fillId="0" borderId="83" xfId="0" applyNumberFormat="1" applyFont="1" applyBorder="1"/>
    <xf numFmtId="0" fontId="1" fillId="0" borderId="37" xfId="0" applyFont="1" applyFill="1" applyBorder="1" applyAlignment="1">
      <alignment horizontal="center"/>
    </xf>
    <xf numFmtId="0" fontId="1" fillId="0" borderId="43" xfId="0" applyFont="1" applyFill="1" applyBorder="1"/>
    <xf numFmtId="0" fontId="1" fillId="0" borderId="44" xfId="0" applyFont="1" applyFill="1" applyBorder="1"/>
    <xf numFmtId="0" fontId="1" fillId="0" borderId="45" xfId="0" applyFont="1" applyFill="1" applyBorder="1"/>
    <xf numFmtId="0" fontId="3" fillId="0" borderId="51" xfId="0" applyFont="1" applyFill="1" applyBorder="1"/>
    <xf numFmtId="3" fontId="3" fillId="0" borderId="52" xfId="0" applyNumberFormat="1" applyFont="1" applyFill="1" applyBorder="1" applyAlignment="1">
      <alignment horizontal="right"/>
    </xf>
    <xf numFmtId="3" fontId="3" fillId="0" borderId="53" xfId="0" applyNumberFormat="1" applyFont="1" applyFill="1" applyBorder="1" applyAlignment="1">
      <alignment horizontal="right"/>
    </xf>
    <xf numFmtId="0" fontId="3" fillId="0" borderId="53" xfId="0" applyFont="1" applyFill="1" applyBorder="1"/>
    <xf numFmtId="164" fontId="1" fillId="0" borderId="43" xfId="4" applyNumberFormat="1" applyFont="1" applyBorder="1"/>
    <xf numFmtId="164" fontId="1" fillId="0" borderId="44" xfId="4" applyNumberFormat="1" applyFont="1" applyFill="1" applyBorder="1"/>
    <xf numFmtId="164" fontId="1" fillId="0" borderId="54" xfId="4" applyNumberFormat="1" applyFont="1" applyBorder="1"/>
    <xf numFmtId="164" fontId="1" fillId="0" borderId="55" xfId="4" applyNumberFormat="1" applyFont="1" applyBorder="1"/>
    <xf numFmtId="164" fontId="1" fillId="0" borderId="45" xfId="4" applyNumberFormat="1" applyFont="1" applyBorder="1"/>
    <xf numFmtId="164" fontId="1" fillId="0" borderId="45" xfId="4" applyNumberFormat="1" applyFont="1" applyFill="1" applyBorder="1"/>
    <xf numFmtId="164" fontId="1" fillId="0" borderId="49" xfId="4" applyNumberFormat="1" applyFont="1" applyBorder="1"/>
    <xf numFmtId="164" fontId="1" fillId="0" borderId="48" xfId="4" applyNumberFormat="1" applyFont="1" applyFill="1" applyBorder="1"/>
    <xf numFmtId="164" fontId="1" fillId="0" borderId="47" xfId="4" applyNumberFormat="1" applyFont="1" applyBorder="1"/>
    <xf numFmtId="164" fontId="1" fillId="0" borderId="48" xfId="4" applyNumberFormat="1" applyFont="1" applyBorder="1"/>
    <xf numFmtId="164" fontId="1" fillId="0" borderId="49" xfId="4" applyNumberFormat="1" applyFont="1" applyFill="1" applyBorder="1"/>
    <xf numFmtId="0" fontId="1" fillId="0" borderId="32" xfId="3" applyFont="1" applyBorder="1"/>
    <xf numFmtId="3" fontId="3" fillId="0" borderId="39" xfId="0" applyNumberFormat="1" applyFont="1" applyBorder="1"/>
    <xf numFmtId="164" fontId="1" fillId="0" borderId="46" xfId="0" applyNumberFormat="1" applyFont="1" applyBorder="1"/>
    <xf numFmtId="0" fontId="1" fillId="0" borderId="31" xfId="0" applyFont="1" applyBorder="1" applyAlignment="1">
      <alignment horizontal="right"/>
    </xf>
    <xf numFmtId="0" fontId="1" fillId="0" borderId="70" xfId="0" applyFont="1" applyBorder="1" applyAlignment="1">
      <alignment horizontal="right"/>
    </xf>
    <xf numFmtId="0" fontId="1" fillId="0" borderId="47" xfId="0" applyFont="1" applyFill="1" applyBorder="1" applyAlignment="1">
      <alignment horizontal="right"/>
    </xf>
    <xf numFmtId="0" fontId="1" fillId="0" borderId="61" xfId="0" applyFont="1" applyFill="1" applyBorder="1" applyAlignment="1">
      <alignment horizontal="right"/>
    </xf>
    <xf numFmtId="3" fontId="1" fillId="0" borderId="47" xfId="1" applyNumberFormat="1" applyFont="1" applyFill="1" applyBorder="1" applyAlignment="1">
      <alignment horizontal="right"/>
    </xf>
    <xf numFmtId="3" fontId="1" fillId="0" borderId="11" xfId="1" applyNumberFormat="1" applyFont="1" applyFill="1" applyBorder="1" applyAlignment="1">
      <alignment horizontal="right"/>
    </xf>
    <xf numFmtId="3" fontId="1" fillId="0" borderId="36" xfId="1" applyNumberFormat="1" applyFont="1" applyFill="1" applyBorder="1" applyAlignment="1">
      <alignment horizontal="right"/>
    </xf>
    <xf numFmtId="0" fontId="3" fillId="0" borderId="64" xfId="0" applyFont="1" applyFill="1" applyBorder="1" applyAlignment="1">
      <alignment horizontal="center"/>
    </xf>
    <xf numFmtId="164" fontId="1" fillId="0" borderId="10" xfId="2" applyNumberFormat="1" applyFont="1" applyFill="1" applyBorder="1" applyAlignment="1">
      <alignment horizontal="right"/>
    </xf>
    <xf numFmtId="164" fontId="1" fillId="0" borderId="35" xfId="2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/>
    </xf>
    <xf numFmtId="164" fontId="1" fillId="0" borderId="12" xfId="2" applyNumberFormat="1" applyFont="1" applyFill="1" applyBorder="1" applyAlignment="1">
      <alignment horizontal="right"/>
    </xf>
    <xf numFmtId="164" fontId="1" fillId="0" borderId="37" xfId="2" applyNumberFormat="1" applyFont="1" applyFill="1" applyBorder="1" applyAlignment="1">
      <alignment horizontal="right"/>
    </xf>
    <xf numFmtId="164" fontId="1" fillId="0" borderId="47" xfId="4" applyNumberFormat="1" applyFont="1" applyFill="1" applyBorder="1"/>
    <xf numFmtId="164" fontId="1" fillId="0" borderId="30" xfId="4" applyNumberFormat="1" applyFont="1" applyFill="1" applyBorder="1"/>
    <xf numFmtId="0" fontId="3" fillId="0" borderId="104" xfId="0" applyFont="1" applyFill="1" applyBorder="1" applyAlignment="1">
      <alignment horizontal="center"/>
    </xf>
    <xf numFmtId="0" fontId="1" fillId="0" borderId="46" xfId="0" applyFont="1" applyFill="1" applyBorder="1"/>
    <xf numFmtId="164" fontId="1" fillId="0" borderId="43" xfId="4" applyNumberFormat="1" applyFont="1" applyFill="1" applyBorder="1"/>
    <xf numFmtId="164" fontId="1" fillId="0" borderId="46" xfId="4" applyNumberFormat="1" applyFont="1" applyFill="1" applyBorder="1"/>
    <xf numFmtId="0" fontId="3" fillId="0" borderId="67" xfId="0" applyFont="1" applyFill="1" applyBorder="1" applyAlignment="1">
      <alignment horizontal="center"/>
    </xf>
    <xf numFmtId="1" fontId="1" fillId="2" borderId="122" xfId="2" applyNumberFormat="1" applyFont="1" applyFill="1" applyBorder="1" applyAlignment="1">
      <alignment horizontal="center"/>
    </xf>
    <xf numFmtId="10" fontId="1" fillId="2" borderId="90" xfId="2" applyFont="1" applyFill="1" applyBorder="1" applyAlignment="1">
      <alignment horizontal="center"/>
    </xf>
    <xf numFmtId="1" fontId="1" fillId="2" borderId="51" xfId="0" applyNumberFormat="1" applyFont="1" applyFill="1" applyBorder="1" applyAlignment="1">
      <alignment horizontal="right"/>
    </xf>
    <xf numFmtId="10" fontId="1" fillId="2" borderId="52" xfId="2" applyFont="1" applyFill="1" applyBorder="1" applyAlignment="1">
      <alignment horizontal="right"/>
    </xf>
    <xf numFmtId="1" fontId="1" fillId="0" borderId="7" xfId="0" applyNumberFormat="1" applyFont="1" applyFill="1" applyBorder="1" applyAlignment="1">
      <alignment horizontal="right"/>
    </xf>
    <xf numFmtId="1" fontId="3" fillId="0" borderId="84" xfId="0" applyNumberFormat="1" applyFont="1" applyFill="1" applyBorder="1" applyAlignment="1">
      <alignment horizontal="right"/>
    </xf>
    <xf numFmtId="1" fontId="1" fillId="0" borderId="102" xfId="0" applyNumberFormat="1" applyFont="1" applyBorder="1" applyAlignment="1">
      <alignment horizontal="right"/>
    </xf>
    <xf numFmtId="1" fontId="1" fillId="0" borderId="8" xfId="0" applyNumberFormat="1" applyFont="1" applyBorder="1" applyAlignment="1">
      <alignment horizontal="right"/>
    </xf>
    <xf numFmtId="1" fontId="3" fillId="0" borderId="88" xfId="0" applyNumberFormat="1" applyFont="1" applyFill="1" applyBorder="1" applyAlignment="1">
      <alignment horizontal="right"/>
    </xf>
    <xf numFmtId="0" fontId="0" fillId="2" borderId="45" xfId="0" applyFill="1" applyBorder="1"/>
    <xf numFmtId="1" fontId="1" fillId="2" borderId="11" xfId="2" applyNumberFormat="1" applyFont="1" applyFill="1" applyBorder="1" applyAlignment="1">
      <alignment horizontal="center"/>
    </xf>
    <xf numFmtId="10" fontId="1" fillId="2" borderId="9" xfId="2" applyFont="1" applyFill="1" applyBorder="1" applyAlignment="1">
      <alignment horizontal="center"/>
    </xf>
    <xf numFmtId="0" fontId="0" fillId="2" borderId="62" xfId="0" applyFill="1" applyBorder="1"/>
    <xf numFmtId="0" fontId="1" fillId="2" borderId="23" xfId="0" applyFont="1" applyFill="1" applyBorder="1" applyAlignment="1">
      <alignment horizontal="right"/>
    </xf>
    <xf numFmtId="1" fontId="1" fillId="2" borderId="65" xfId="2" applyNumberFormat="1" applyFont="1" applyFill="1" applyBorder="1" applyAlignment="1">
      <alignment horizontal="center"/>
    </xf>
    <xf numFmtId="10" fontId="1" fillId="2" borderId="66" xfId="2" applyFont="1" applyFill="1" applyBorder="1" applyAlignment="1">
      <alignment horizontal="center"/>
    </xf>
    <xf numFmtId="10" fontId="1" fillId="2" borderId="26" xfId="2" applyFont="1" applyFill="1" applyBorder="1" applyAlignment="1">
      <alignment horizontal="center"/>
    </xf>
    <xf numFmtId="1" fontId="1" fillId="2" borderId="19" xfId="2" applyNumberFormat="1" applyFont="1" applyFill="1" applyBorder="1" applyAlignment="1">
      <alignment horizontal="center"/>
    </xf>
    <xf numFmtId="10" fontId="1" fillId="2" borderId="17" xfId="2" applyFont="1" applyFill="1" applyBorder="1" applyAlignment="1">
      <alignment horizontal="center"/>
    </xf>
    <xf numFmtId="0" fontId="1" fillId="2" borderId="48" xfId="4" applyNumberFormat="1" applyFont="1" applyFill="1" applyBorder="1"/>
    <xf numFmtId="0" fontId="3" fillId="2" borderId="47" xfId="0" applyFont="1" applyFill="1" applyBorder="1"/>
    <xf numFmtId="4" fontId="1" fillId="2" borderId="57" xfId="0" applyNumberFormat="1" applyFont="1" applyFill="1" applyBorder="1"/>
    <xf numFmtId="164" fontId="1" fillId="2" borderId="58" xfId="0" applyNumberFormat="1" applyFont="1" applyFill="1" applyBorder="1"/>
    <xf numFmtId="0" fontId="1" fillId="4" borderId="49" xfId="0" applyFont="1" applyFill="1" applyBorder="1"/>
    <xf numFmtId="0" fontId="1" fillId="4" borderId="47" xfId="0" applyFont="1" applyFill="1" applyBorder="1"/>
    <xf numFmtId="0" fontId="1" fillId="4" borderId="62" xfId="0" applyFont="1" applyFill="1" applyBorder="1"/>
    <xf numFmtId="164" fontId="1" fillId="2" borderId="0" xfId="3" applyNumberFormat="1" applyFont="1" applyFill="1" applyBorder="1"/>
    <xf numFmtId="3" fontId="3" fillId="2" borderId="0" xfId="0" applyNumberFormat="1" applyFont="1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center"/>
    </xf>
    <xf numFmtId="0" fontId="1" fillId="2" borderId="23" xfId="3" applyFont="1" applyFill="1" applyBorder="1"/>
    <xf numFmtId="0" fontId="1" fillId="2" borderId="28" xfId="3" applyFont="1" applyFill="1" applyBorder="1"/>
    <xf numFmtId="10" fontId="1" fillId="2" borderId="67" xfId="2" applyFont="1" applyFill="1" applyBorder="1" applyAlignment="1">
      <alignment horizontal="center"/>
    </xf>
    <xf numFmtId="10" fontId="1" fillId="2" borderId="86" xfId="2" applyFont="1" applyFill="1" applyBorder="1" applyAlignment="1">
      <alignment horizontal="center"/>
    </xf>
    <xf numFmtId="0" fontId="1" fillId="0" borderId="23" xfId="3" applyFont="1" applyBorder="1"/>
    <xf numFmtId="0" fontId="1" fillId="0" borderId="28" xfId="3" applyFont="1" applyBorder="1"/>
    <xf numFmtId="0" fontId="8" fillId="0" borderId="0" xfId="0" applyFont="1" applyFill="1" applyAlignment="1" applyProtection="1"/>
    <xf numFmtId="0" fontId="2" fillId="0" borderId="0" xfId="0" applyFont="1" applyBorder="1"/>
    <xf numFmtId="0" fontId="8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1" fillId="0" borderId="113" xfId="0" applyFont="1" applyBorder="1"/>
    <xf numFmtId="0" fontId="1" fillId="0" borderId="27" xfId="0" applyFont="1" applyBorder="1"/>
    <xf numFmtId="3" fontId="1" fillId="0" borderId="30" xfId="0" applyNumberFormat="1" applyFont="1" applyBorder="1"/>
    <xf numFmtId="0" fontId="1" fillId="0" borderId="38" xfId="0" applyFont="1" applyBorder="1"/>
    <xf numFmtId="3" fontId="3" fillId="0" borderId="0" xfId="0" applyNumberFormat="1" applyFont="1" applyFill="1" applyBorder="1" applyAlignment="1">
      <alignment horizontal="right"/>
    </xf>
    <xf numFmtId="0" fontId="3" fillId="0" borderId="40" xfId="3" applyFont="1" applyBorder="1"/>
    <xf numFmtId="3" fontId="3" fillId="0" borderId="0" xfId="0" applyNumberFormat="1" applyFont="1" applyBorder="1"/>
    <xf numFmtId="0" fontId="1" fillId="2" borderId="10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3" fontId="1" fillId="0" borderId="9" xfId="0" applyNumberFormat="1" applyFont="1" applyFill="1" applyBorder="1"/>
    <xf numFmtId="165" fontId="1" fillId="0" borderId="11" xfId="0" applyNumberFormat="1" applyFont="1" applyFill="1" applyBorder="1"/>
    <xf numFmtId="0" fontId="1" fillId="2" borderId="25" xfId="0" applyFont="1" applyFill="1" applyBorder="1" applyAlignment="1">
      <alignment horizontal="center"/>
    </xf>
    <xf numFmtId="3" fontId="1" fillId="0" borderId="12" xfId="1" applyNumberFormat="1" applyFont="1" applyFill="1" applyBorder="1" applyAlignment="1">
      <alignment horizontal="right"/>
    </xf>
    <xf numFmtId="3" fontId="1" fillId="0" borderId="12" xfId="0" applyNumberFormat="1" applyFont="1" applyFill="1" applyBorder="1"/>
    <xf numFmtId="0" fontId="1" fillId="2" borderId="26" xfId="0" applyFont="1" applyFill="1" applyBorder="1"/>
    <xf numFmtId="0" fontId="2" fillId="0" borderId="60" xfId="0" applyFont="1" applyBorder="1" applyAlignment="1">
      <alignment horizontal="left" indent="1"/>
    </xf>
    <xf numFmtId="0" fontId="4" fillId="0" borderId="0" xfId="0" applyFont="1"/>
    <xf numFmtId="0" fontId="1" fillId="0" borderId="28" xfId="0" applyFont="1" applyBorder="1" applyAlignment="1">
      <alignment horizontal="left" indent="1"/>
    </xf>
    <xf numFmtId="0" fontId="1" fillId="0" borderId="28" xfId="0" applyFont="1" applyBorder="1" applyAlignment="1">
      <alignment horizontal="left" indent="3"/>
    </xf>
    <xf numFmtId="0" fontId="1" fillId="0" borderId="7" xfId="0" applyFont="1" applyBorder="1" applyAlignment="1">
      <alignment horizontal="left" indent="3"/>
    </xf>
    <xf numFmtId="0" fontId="3" fillId="0" borderId="28" xfId="0" applyFont="1" applyBorder="1" applyAlignment="1">
      <alignment horizontal="left" indent="2"/>
    </xf>
    <xf numFmtId="0" fontId="1" fillId="4" borderId="61" xfId="0" applyFont="1" applyFill="1" applyBorder="1"/>
    <xf numFmtId="3" fontId="1" fillId="0" borderId="62" xfId="0" applyNumberFormat="1" applyFont="1" applyFill="1" applyBorder="1"/>
    <xf numFmtId="0" fontId="1" fillId="4" borderId="19" xfId="0" applyFont="1" applyFill="1" applyBorder="1"/>
    <xf numFmtId="3" fontId="1" fillId="0" borderId="17" xfId="0" applyNumberFormat="1" applyFont="1" applyFill="1" applyBorder="1"/>
    <xf numFmtId="165" fontId="1" fillId="0" borderId="19" xfId="0" applyNumberFormat="1" applyFont="1" applyFill="1" applyBorder="1"/>
    <xf numFmtId="3" fontId="1" fillId="0" borderId="20" xfId="0" applyNumberFormat="1" applyFont="1" applyFill="1" applyBorder="1"/>
    <xf numFmtId="0" fontId="3" fillId="0" borderId="124" xfId="0" applyFont="1" applyBorder="1" applyAlignment="1">
      <alignment horizontal="center"/>
    </xf>
    <xf numFmtId="3" fontId="3" fillId="0" borderId="125" xfId="0" applyNumberFormat="1" applyFont="1" applyBorder="1" applyAlignment="1">
      <alignment horizontal="right"/>
    </xf>
    <xf numFmtId="0" fontId="3" fillId="0" borderId="126" xfId="0" applyFont="1" applyFill="1" applyBorder="1" applyAlignment="1">
      <alignment horizontal="right"/>
    </xf>
    <xf numFmtId="3" fontId="3" fillId="0" borderId="127" xfId="0" applyNumberFormat="1" applyFont="1" applyBorder="1" applyAlignment="1">
      <alignment horizontal="right"/>
    </xf>
    <xf numFmtId="165" fontId="3" fillId="0" borderId="126" xfId="0" applyNumberFormat="1" applyFont="1" applyFill="1" applyBorder="1" applyAlignment="1">
      <alignment horizontal="right"/>
    </xf>
    <xf numFmtId="3" fontId="3" fillId="0" borderId="127" xfId="0" applyNumberFormat="1" applyFont="1" applyFill="1" applyBorder="1" applyAlignment="1">
      <alignment horizontal="right"/>
    </xf>
    <xf numFmtId="3" fontId="3" fillId="0" borderId="128" xfId="0" applyNumberFormat="1" applyFont="1" applyFill="1" applyBorder="1" applyAlignment="1">
      <alignment horizontal="right"/>
    </xf>
    <xf numFmtId="0" fontId="3" fillId="2" borderId="50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2" borderId="130" xfId="0" applyFont="1" applyFill="1" applyBorder="1" applyAlignment="1">
      <alignment horizontal="center"/>
    </xf>
    <xf numFmtId="0" fontId="3" fillId="2" borderId="131" xfId="0" applyFont="1" applyFill="1" applyBorder="1" applyAlignment="1">
      <alignment horizontal="center"/>
    </xf>
    <xf numFmtId="0" fontId="3" fillId="0" borderId="133" xfId="0" applyFont="1" applyFill="1" applyBorder="1" applyAlignment="1">
      <alignment horizontal="center"/>
    </xf>
    <xf numFmtId="0" fontId="3" fillId="0" borderId="134" xfId="0" applyFont="1" applyFill="1" applyBorder="1" applyAlignment="1">
      <alignment horizontal="center"/>
    </xf>
    <xf numFmtId="0" fontId="3" fillId="0" borderId="135" xfId="0" applyFont="1" applyFill="1" applyBorder="1" applyAlignment="1">
      <alignment horizontal="center"/>
    </xf>
    <xf numFmtId="0" fontId="3" fillId="0" borderId="136" xfId="0" applyFont="1" applyFill="1" applyBorder="1" applyAlignment="1">
      <alignment horizontal="center"/>
    </xf>
    <xf numFmtId="0" fontId="3" fillId="0" borderId="132" xfId="0" applyFont="1" applyBorder="1" applyAlignment="1">
      <alignment horizontal="left" indent="1"/>
    </xf>
    <xf numFmtId="0" fontId="3" fillId="0" borderId="23" xfId="0" applyFont="1" applyBorder="1" applyAlignment="1">
      <alignment horizontal="left" indent="2"/>
    </xf>
    <xf numFmtId="164" fontId="1" fillId="0" borderId="18" xfId="2" applyNumberFormat="1" applyFont="1" applyFill="1" applyBorder="1" applyAlignment="1">
      <alignment horizontal="right"/>
    </xf>
    <xf numFmtId="164" fontId="1" fillId="0" borderId="20" xfId="2" applyNumberFormat="1" applyFont="1" applyFill="1" applyBorder="1" applyAlignment="1">
      <alignment horizontal="right"/>
    </xf>
    <xf numFmtId="3" fontId="1" fillId="0" borderId="19" xfId="1" applyNumberFormat="1" applyFont="1" applyFill="1" applyBorder="1" applyAlignment="1">
      <alignment horizontal="right"/>
    </xf>
    <xf numFmtId="0" fontId="3" fillId="0" borderId="60" xfId="0" applyFont="1" applyBorder="1" applyAlignment="1">
      <alignment horizontal="left" indent="2"/>
    </xf>
    <xf numFmtId="0" fontId="3" fillId="0" borderId="25" xfId="0" applyFont="1" applyFill="1" applyBorder="1" applyAlignment="1">
      <alignment horizontal="right"/>
    </xf>
    <xf numFmtId="164" fontId="1" fillId="0" borderId="137" xfId="2" applyNumberFormat="1" applyFont="1" applyFill="1" applyBorder="1" applyAlignment="1">
      <alignment horizontal="right"/>
    </xf>
    <xf numFmtId="164" fontId="1" fillId="0" borderId="26" xfId="2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0" fontId="1" fillId="2" borderId="28" xfId="0" applyFont="1" applyFill="1" applyBorder="1" applyAlignment="1">
      <alignment horizontal="left" indent="1"/>
    </xf>
    <xf numFmtId="0" fontId="1" fillId="2" borderId="60" xfId="0" applyFont="1" applyFill="1" applyBorder="1" applyAlignment="1">
      <alignment horizontal="left" indent="1"/>
    </xf>
    <xf numFmtId="1" fontId="1" fillId="2" borderId="60" xfId="0" applyNumberFormat="1" applyFont="1" applyFill="1" applyBorder="1" applyAlignment="1">
      <alignment horizontal="left" indent="1"/>
    </xf>
    <xf numFmtId="0" fontId="1" fillId="2" borderId="23" xfId="0" applyFont="1" applyFill="1" applyBorder="1" applyAlignment="1">
      <alignment horizontal="left" indent="1"/>
    </xf>
    <xf numFmtId="0" fontId="1" fillId="2" borderId="32" xfId="0" applyFont="1" applyFill="1" applyBorder="1" applyAlignment="1">
      <alignment horizontal="left" indent="1"/>
    </xf>
    <xf numFmtId="0" fontId="1" fillId="2" borderId="77" xfId="0" applyFont="1" applyFill="1" applyBorder="1" applyAlignment="1">
      <alignment horizontal="left" indent="1"/>
    </xf>
    <xf numFmtId="0" fontId="3" fillId="2" borderId="60" xfId="3" applyFont="1" applyFill="1" applyBorder="1" applyAlignment="1">
      <alignment horizontal="left" wrapText="1" indent="1"/>
    </xf>
    <xf numFmtId="0" fontId="3" fillId="2" borderId="54" xfId="3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" fillId="2" borderId="59" xfId="0" applyFont="1" applyFill="1" applyBorder="1" applyAlignment="1"/>
    <xf numFmtId="0" fontId="3" fillId="2" borderId="138" xfId="3" applyFont="1" applyFill="1" applyBorder="1"/>
    <xf numFmtId="0" fontId="3" fillId="2" borderId="28" xfId="3" applyFont="1" applyFill="1" applyBorder="1" applyAlignment="1">
      <alignment horizontal="left" wrapText="1" indent="1"/>
    </xf>
    <xf numFmtId="0" fontId="3" fillId="2" borderId="47" xfId="3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1" fontId="1" fillId="0" borderId="48" xfId="0" applyNumberFormat="1" applyFont="1" applyFill="1" applyBorder="1"/>
    <xf numFmtId="164" fontId="1" fillId="2" borderId="140" xfId="4" applyNumberFormat="1" applyFont="1" applyFill="1" applyBorder="1"/>
    <xf numFmtId="0" fontId="1" fillId="2" borderId="141" xfId="4" applyNumberFormat="1" applyFont="1" applyFill="1" applyBorder="1"/>
    <xf numFmtId="0" fontId="3" fillId="2" borderId="142" xfId="0" applyFont="1" applyFill="1" applyBorder="1"/>
    <xf numFmtId="4" fontId="1" fillId="2" borderId="143" xfId="0" applyNumberFormat="1" applyFont="1" applyFill="1" applyBorder="1"/>
    <xf numFmtId="0" fontId="1" fillId="2" borderId="45" xfId="0" applyFont="1" applyFill="1" applyBorder="1"/>
    <xf numFmtId="3" fontId="1" fillId="2" borderId="45" xfId="1" applyNumberFormat="1" applyFont="1" applyFill="1" applyBorder="1" applyAlignment="1">
      <alignment horizontal="right"/>
    </xf>
    <xf numFmtId="0" fontId="1" fillId="2" borderId="144" xfId="0" applyFont="1" applyFill="1" applyBorder="1" applyAlignment="1">
      <alignment horizontal="center"/>
    </xf>
    <xf numFmtId="0" fontId="1" fillId="2" borderId="14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left" indent="1"/>
    </xf>
    <xf numFmtId="0" fontId="3" fillId="2" borderId="28" xfId="0" applyFont="1" applyFill="1" applyBorder="1" applyAlignment="1">
      <alignment horizontal="left" indent="1"/>
    </xf>
    <xf numFmtId="0" fontId="1" fillId="2" borderId="28" xfId="0" applyFont="1" applyFill="1" applyBorder="1" applyAlignment="1">
      <alignment horizontal="left" indent="2"/>
    </xf>
    <xf numFmtId="0" fontId="1" fillId="2" borderId="7" xfId="0" applyFont="1" applyFill="1" applyBorder="1" applyAlignment="1">
      <alignment horizontal="left" indent="2"/>
    </xf>
    <xf numFmtId="0" fontId="3" fillId="2" borderId="43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left" indent="2"/>
    </xf>
    <xf numFmtId="0" fontId="3" fillId="2" borderId="28" xfId="0" applyFont="1" applyFill="1" applyBorder="1" applyAlignment="1">
      <alignment horizontal="left" indent="2"/>
    </xf>
    <xf numFmtId="0" fontId="3" fillId="2" borderId="132" xfId="0" applyFont="1" applyFill="1" applyBorder="1" applyAlignment="1">
      <alignment horizontal="left" indent="1"/>
    </xf>
    <xf numFmtId="0" fontId="1" fillId="0" borderId="139" xfId="0" applyFont="1" applyBorder="1" applyAlignment="1">
      <alignment horizontal="left" wrapText="1" indent="2"/>
    </xf>
    <xf numFmtId="0" fontId="1" fillId="0" borderId="28" xfId="0" applyFont="1" applyBorder="1" applyAlignment="1">
      <alignment horizontal="left" wrapText="1" indent="2"/>
    </xf>
    <xf numFmtId="3" fontId="1" fillId="2" borderId="62" xfId="0" applyNumberFormat="1" applyFont="1" applyFill="1" applyBorder="1"/>
    <xf numFmtId="0" fontId="3" fillId="2" borderId="124" xfId="0" applyFont="1" applyFill="1" applyBorder="1" applyAlignment="1">
      <alignment horizontal="center"/>
    </xf>
    <xf numFmtId="0" fontId="3" fillId="2" borderId="125" xfId="0" applyFont="1" applyFill="1" applyBorder="1" applyAlignment="1">
      <alignment horizontal="right"/>
    </xf>
    <xf numFmtId="3" fontId="3" fillId="2" borderId="125" xfId="0" applyNumberFormat="1" applyFont="1" applyFill="1" applyBorder="1" applyAlignment="1">
      <alignment horizontal="right"/>
    </xf>
    <xf numFmtId="0" fontId="3" fillId="2" borderId="133" xfId="0" applyFont="1" applyFill="1" applyBorder="1" applyAlignment="1">
      <alignment horizontal="center"/>
    </xf>
    <xf numFmtId="0" fontId="3" fillId="2" borderId="134" xfId="0" applyFont="1" applyFill="1" applyBorder="1" applyAlignment="1">
      <alignment horizontal="center"/>
    </xf>
    <xf numFmtId="0" fontId="3" fillId="2" borderId="135" xfId="0" applyFont="1" applyFill="1" applyBorder="1" applyAlignment="1">
      <alignment horizontal="center"/>
    </xf>
    <xf numFmtId="0" fontId="3" fillId="2" borderId="147" xfId="0" applyFont="1" applyFill="1" applyBorder="1" applyAlignment="1">
      <alignment horizontal="center"/>
    </xf>
    <xf numFmtId="0" fontId="3" fillId="2" borderId="136" xfId="0" applyFont="1" applyFill="1" applyBorder="1" applyAlignment="1">
      <alignment horizontal="center"/>
    </xf>
    <xf numFmtId="0" fontId="1" fillId="2" borderId="147" xfId="0" applyFont="1" applyFill="1" applyBorder="1" applyAlignment="1">
      <alignment horizontal="center"/>
    </xf>
    <xf numFmtId="0" fontId="1" fillId="2" borderId="135" xfId="0" applyFont="1" applyFill="1" applyBorder="1" applyAlignment="1">
      <alignment horizontal="center"/>
    </xf>
    <xf numFmtId="0" fontId="1" fillId="2" borderId="65" xfId="0" applyFont="1" applyFill="1" applyBorder="1"/>
    <xf numFmtId="3" fontId="1" fillId="2" borderId="66" xfId="1" applyNumberFormat="1" applyFont="1" applyFill="1" applyBorder="1" applyAlignment="1">
      <alignment horizontal="right"/>
    </xf>
    <xf numFmtId="3" fontId="1" fillId="2" borderId="9" xfId="1" applyNumberFormat="1" applyFont="1" applyFill="1" applyBorder="1" applyAlignment="1">
      <alignment horizontal="right"/>
    </xf>
    <xf numFmtId="0" fontId="1" fillId="2" borderId="11" xfId="0" applyFont="1" applyFill="1" applyBorder="1"/>
    <xf numFmtId="3" fontId="1" fillId="2" borderId="9" xfId="0" applyNumberFormat="1" applyFont="1" applyFill="1" applyBorder="1"/>
    <xf numFmtId="3" fontId="1" fillId="2" borderId="17" xfId="0" applyNumberFormat="1" applyFont="1" applyFill="1" applyBorder="1"/>
    <xf numFmtId="0" fontId="1" fillId="2" borderId="63" xfId="0" applyFont="1" applyFill="1" applyBorder="1"/>
    <xf numFmtId="0" fontId="1" fillId="2" borderId="8" xfId="0" applyFont="1" applyFill="1" applyBorder="1"/>
    <xf numFmtId="0" fontId="3" fillId="2" borderId="148" xfId="0" applyFont="1" applyFill="1" applyBorder="1" applyAlignment="1">
      <alignment horizontal="right"/>
    </xf>
    <xf numFmtId="3" fontId="3" fillId="2" borderId="127" xfId="0" applyNumberFormat="1" applyFont="1" applyFill="1" applyBorder="1" applyAlignment="1">
      <alignment horizontal="right"/>
    </xf>
    <xf numFmtId="0" fontId="3" fillId="2" borderId="126" xfId="0" applyFont="1" applyFill="1" applyBorder="1" applyAlignment="1">
      <alignment horizontal="right"/>
    </xf>
    <xf numFmtId="165" fontId="1" fillId="2" borderId="8" xfId="0" applyNumberFormat="1" applyFont="1" applyFill="1" applyBorder="1"/>
    <xf numFmtId="165" fontId="1" fillId="2" borderId="16" xfId="0" applyNumberFormat="1" applyFont="1" applyFill="1" applyBorder="1"/>
    <xf numFmtId="165" fontId="3" fillId="2" borderId="148" xfId="0" applyNumberFormat="1" applyFont="1" applyFill="1" applyBorder="1" applyAlignment="1">
      <alignment horizontal="right"/>
    </xf>
    <xf numFmtId="0" fontId="1" fillId="2" borderId="136" xfId="0" applyFont="1" applyFill="1" applyBorder="1" applyAlignment="1">
      <alignment horizontal="center"/>
    </xf>
    <xf numFmtId="3" fontId="1" fillId="2" borderId="67" xfId="1" applyNumberFormat="1" applyFont="1" applyFill="1" applyBorder="1" applyAlignment="1">
      <alignment horizontal="right"/>
    </xf>
    <xf numFmtId="3" fontId="1" fillId="2" borderId="12" xfId="1" applyNumberFormat="1" applyFont="1" applyFill="1" applyBorder="1" applyAlignment="1">
      <alignment horizontal="right"/>
    </xf>
    <xf numFmtId="3" fontId="1" fillId="2" borderId="12" xfId="0" applyNumberFormat="1" applyFont="1" applyFill="1" applyBorder="1"/>
    <xf numFmtId="3" fontId="1" fillId="2" borderId="20" xfId="0" applyNumberFormat="1" applyFont="1" applyFill="1" applyBorder="1"/>
    <xf numFmtId="3" fontId="3" fillId="2" borderId="128" xfId="0" applyNumberFormat="1" applyFont="1" applyFill="1" applyBorder="1" applyAlignment="1">
      <alignment horizontal="right"/>
    </xf>
    <xf numFmtId="0" fontId="1" fillId="2" borderId="100" xfId="0" applyFont="1" applyFill="1" applyBorder="1"/>
    <xf numFmtId="0" fontId="3" fillId="0" borderId="0" xfId="0" applyFont="1"/>
    <xf numFmtId="1" fontId="1" fillId="0" borderId="7" xfId="0" applyNumberFormat="1" applyFont="1" applyFill="1" applyBorder="1" applyAlignment="1">
      <alignment horizontal="left" indent="1"/>
    </xf>
    <xf numFmtId="0" fontId="1" fillId="0" borderId="23" xfId="0" applyFont="1" applyBorder="1" applyAlignment="1">
      <alignment horizontal="left" indent="1"/>
    </xf>
    <xf numFmtId="0" fontId="1" fillId="0" borderId="32" xfId="0" applyFont="1" applyBorder="1" applyAlignment="1">
      <alignment horizontal="left" indent="1"/>
    </xf>
    <xf numFmtId="0" fontId="4" fillId="2" borderId="77" xfId="0" applyFont="1" applyFill="1" applyBorder="1" applyAlignment="1">
      <alignment horizontal="left" indent="1"/>
    </xf>
    <xf numFmtId="165" fontId="1" fillId="0" borderId="8" xfId="0" applyNumberFormat="1" applyFont="1" applyFill="1" applyBorder="1"/>
    <xf numFmtId="1" fontId="1" fillId="2" borderId="29" xfId="0" applyNumberFormat="1" applyFont="1" applyFill="1" applyBorder="1"/>
    <xf numFmtId="165" fontId="1" fillId="2" borderId="29" xfId="3" applyNumberFormat="1" applyFont="1" applyFill="1" applyBorder="1" applyAlignment="1"/>
    <xf numFmtId="1" fontId="1" fillId="2" borderId="30" xfId="0" applyNumberFormat="1" applyFont="1" applyFill="1" applyBorder="1"/>
    <xf numFmtId="0" fontId="3" fillId="2" borderId="23" xfId="3" applyFont="1" applyFill="1" applyBorder="1" applyAlignment="1">
      <alignment horizontal="left" wrapText="1" indent="1"/>
    </xf>
    <xf numFmtId="0" fontId="3" fillId="2" borderId="43" xfId="3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1" fillId="0" borderId="31" xfId="0" applyFont="1" applyBorder="1" applyAlignment="1">
      <alignment horizontal="left" wrapText="1" indent="2"/>
    </xf>
    <xf numFmtId="164" fontId="1" fillId="2" borderId="62" xfId="4" applyNumberFormat="1" applyFont="1" applyFill="1" applyBorder="1"/>
    <xf numFmtId="0" fontId="1" fillId="2" borderId="146" xfId="4" applyNumberFormat="1" applyFont="1" applyFill="1" applyBorder="1"/>
    <xf numFmtId="0" fontId="3" fillId="2" borderId="61" xfId="0" applyFont="1" applyFill="1" applyBorder="1"/>
    <xf numFmtId="3" fontId="1" fillId="0" borderId="66" xfId="1" applyNumberFormat="1" applyFont="1" applyFill="1" applyBorder="1" applyAlignment="1">
      <alignment horizontal="right"/>
    </xf>
    <xf numFmtId="3" fontId="1" fillId="0" borderId="67" xfId="1" applyNumberFormat="1" applyFont="1" applyFill="1" applyBorder="1" applyAlignment="1">
      <alignment horizontal="right"/>
    </xf>
    <xf numFmtId="0" fontId="1" fillId="0" borderId="144" xfId="0" applyFont="1" applyFill="1" applyBorder="1" applyAlignment="1">
      <alignment horizontal="center"/>
    </xf>
    <xf numFmtId="0" fontId="1" fillId="0" borderId="145" xfId="0" applyFont="1" applyFill="1" applyBorder="1" applyAlignment="1">
      <alignment horizontal="center"/>
    </xf>
    <xf numFmtId="0" fontId="3" fillId="0" borderId="147" xfId="0" applyFont="1" applyFill="1" applyBorder="1" applyAlignment="1">
      <alignment horizontal="center"/>
    </xf>
    <xf numFmtId="0" fontId="3" fillId="2" borderId="149" xfId="0" applyFont="1" applyFill="1" applyBorder="1" applyAlignment="1">
      <alignment horizontal="center"/>
    </xf>
    <xf numFmtId="165" fontId="1" fillId="0" borderId="16" xfId="0" applyNumberFormat="1" applyFont="1" applyFill="1" applyBorder="1"/>
    <xf numFmtId="164" fontId="1" fillId="2" borderId="64" xfId="2" applyNumberFormat="1" applyFont="1" applyFill="1" applyBorder="1" applyAlignment="1">
      <alignment horizontal="right"/>
    </xf>
    <xf numFmtId="164" fontId="1" fillId="2" borderId="66" xfId="2" applyNumberFormat="1" applyFont="1" applyFill="1" applyBorder="1" applyAlignment="1">
      <alignment horizontal="right"/>
    </xf>
    <xf numFmtId="0" fontId="1" fillId="2" borderId="45" xfId="0" applyFont="1" applyFill="1" applyBorder="1" applyAlignment="1">
      <alignment horizontal="right"/>
    </xf>
    <xf numFmtId="0" fontId="3" fillId="0" borderId="125" xfId="0" applyFont="1" applyFill="1" applyBorder="1" applyAlignment="1">
      <alignment horizontal="right"/>
    </xf>
    <xf numFmtId="3" fontId="3" fillId="0" borderId="125" xfId="0" applyNumberFormat="1" applyFont="1" applyFill="1" applyBorder="1" applyAlignment="1">
      <alignment horizontal="right"/>
    </xf>
    <xf numFmtId="0" fontId="3" fillId="0" borderId="148" xfId="0" applyFont="1" applyFill="1" applyBorder="1" applyAlignment="1">
      <alignment horizontal="right"/>
    </xf>
    <xf numFmtId="165" fontId="3" fillId="0" borderId="148" xfId="0" applyNumberFormat="1" applyFont="1" applyFill="1" applyBorder="1" applyAlignment="1">
      <alignment horizontal="right"/>
    </xf>
    <xf numFmtId="0" fontId="3" fillId="2" borderId="137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50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left" indent="2"/>
    </xf>
    <xf numFmtId="1" fontId="1" fillId="2" borderId="100" xfId="0" applyNumberFormat="1" applyFont="1" applyFill="1" applyBorder="1" applyAlignment="1">
      <alignment horizontal="center"/>
    </xf>
    <xf numFmtId="165" fontId="1" fillId="2" borderId="67" xfId="0" applyNumberFormat="1" applyFont="1" applyFill="1" applyBorder="1" applyAlignment="1">
      <alignment horizontal="center"/>
    </xf>
    <xf numFmtId="3" fontId="3" fillId="2" borderId="151" xfId="1" applyNumberFormat="1" applyFont="1" applyFill="1" applyBorder="1" applyAlignment="1">
      <alignment horizontal="center"/>
    </xf>
    <xf numFmtId="164" fontId="3" fillId="2" borderId="152" xfId="2" applyNumberFormat="1" applyFont="1" applyFill="1" applyBorder="1" applyAlignment="1">
      <alignment horizontal="center"/>
    </xf>
    <xf numFmtId="3" fontId="3" fillId="2" borderId="153" xfId="1" applyNumberFormat="1" applyFont="1" applyFill="1" applyBorder="1" applyAlignment="1">
      <alignment horizontal="center"/>
    </xf>
    <xf numFmtId="164" fontId="3" fillId="2" borderId="154" xfId="2" applyNumberFormat="1" applyFont="1" applyFill="1" applyBorder="1" applyAlignment="1">
      <alignment horizontal="center"/>
    </xf>
    <xf numFmtId="0" fontId="1" fillId="0" borderId="31" xfId="0" applyFont="1" applyBorder="1" applyAlignment="1">
      <alignment horizontal="left" indent="1"/>
    </xf>
    <xf numFmtId="0" fontId="3" fillId="0" borderId="77" xfId="0" applyFont="1" applyBorder="1" applyAlignment="1">
      <alignment horizontal="center"/>
    </xf>
    <xf numFmtId="165" fontId="1" fillId="2" borderId="81" xfId="0" applyNumberFormat="1" applyFont="1" applyFill="1" applyBorder="1" applyAlignment="1">
      <alignment horizontal="center"/>
    </xf>
    <xf numFmtId="0" fontId="3" fillId="0" borderId="114" xfId="0" applyFont="1" applyBorder="1" applyAlignment="1">
      <alignment horizontal="center"/>
    </xf>
    <xf numFmtId="10" fontId="1" fillId="0" borderId="27" xfId="2" applyFont="1" applyBorder="1" applyAlignment="1">
      <alignment horizontal="center"/>
    </xf>
    <xf numFmtId="10" fontId="1" fillId="0" borderId="30" xfId="2" applyFont="1" applyBorder="1" applyAlignment="1">
      <alignment horizontal="center"/>
    </xf>
    <xf numFmtId="1" fontId="1" fillId="0" borderId="29" xfId="0" applyNumberFormat="1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64" fontId="1" fillId="2" borderId="0" xfId="4" applyNumberFormat="1" applyFont="1" applyFill="1" applyBorder="1"/>
    <xf numFmtId="0" fontId="1" fillId="2" borderId="94" xfId="4" applyNumberFormat="1" applyFont="1" applyFill="1" applyBorder="1"/>
    <xf numFmtId="0" fontId="3" fillId="2" borderId="123" xfId="0" applyFont="1" applyFill="1" applyBorder="1"/>
    <xf numFmtId="4" fontId="1" fillId="2" borderId="14" xfId="0" applyNumberFormat="1" applyFont="1" applyFill="1" applyBorder="1"/>
    <xf numFmtId="0" fontId="1" fillId="0" borderId="147" xfId="0" applyFont="1" applyFill="1" applyBorder="1" applyAlignment="1">
      <alignment horizontal="center"/>
    </xf>
    <xf numFmtId="0" fontId="1" fillId="0" borderId="135" xfId="0" applyFont="1" applyFill="1" applyBorder="1" applyAlignment="1">
      <alignment horizontal="center"/>
    </xf>
    <xf numFmtId="0" fontId="1" fillId="0" borderId="136" xfId="0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7" xfId="0" applyFont="1" applyBorder="1" applyAlignment="1">
      <alignment horizontal="left" wrapText="1" indent="2"/>
    </xf>
    <xf numFmtId="164" fontId="1" fillId="2" borderId="18" xfId="2" applyNumberFormat="1" applyFont="1" applyFill="1" applyBorder="1" applyAlignment="1">
      <alignment horizontal="right"/>
    </xf>
    <xf numFmtId="164" fontId="1" fillId="2" borderId="17" xfId="2" applyNumberFormat="1" applyFont="1" applyFill="1" applyBorder="1" applyAlignment="1">
      <alignment horizontal="right"/>
    </xf>
    <xf numFmtId="164" fontId="1" fillId="2" borderId="20" xfId="2" applyNumberFormat="1" applyFont="1" applyFill="1" applyBorder="1" applyAlignment="1">
      <alignment horizontal="right"/>
    </xf>
    <xf numFmtId="3" fontId="1" fillId="2" borderId="19" xfId="1" applyNumberFormat="1" applyFont="1" applyFill="1" applyBorder="1" applyAlignment="1">
      <alignment horizontal="right"/>
    </xf>
    <xf numFmtId="3" fontId="1" fillId="2" borderId="16" xfId="1" applyNumberFormat="1" applyFont="1" applyFill="1" applyBorder="1" applyAlignment="1">
      <alignment horizontal="right"/>
    </xf>
    <xf numFmtId="0" fontId="3" fillId="2" borderId="25" xfId="0" applyFont="1" applyFill="1" applyBorder="1" applyAlignment="1">
      <alignment horizontal="right"/>
    </xf>
    <xf numFmtId="164" fontId="3" fillId="2" borderId="137" xfId="2" applyNumberFormat="1" applyFont="1" applyFill="1" applyBorder="1" applyAlignment="1">
      <alignment horizontal="right"/>
    </xf>
    <xf numFmtId="164" fontId="3" fillId="2" borderId="24" xfId="2" applyNumberFormat="1" applyFont="1" applyFill="1" applyBorder="1" applyAlignment="1">
      <alignment horizontal="right"/>
    </xf>
    <xf numFmtId="0" fontId="3" fillId="2" borderId="102" xfId="0" applyFont="1" applyFill="1" applyBorder="1" applyAlignment="1">
      <alignment horizontal="right"/>
    </xf>
    <xf numFmtId="164" fontId="3" fillId="2" borderId="26" xfId="2" applyNumberFormat="1" applyFont="1" applyFill="1" applyBorder="1" applyAlignment="1">
      <alignment horizontal="right"/>
    </xf>
    <xf numFmtId="164" fontId="1" fillId="2" borderId="25" xfId="0" applyNumberFormat="1" applyFont="1" applyFill="1" applyBorder="1" applyAlignment="1">
      <alignment horizontal="right"/>
    </xf>
    <xf numFmtId="164" fontId="1" fillId="2" borderId="137" xfId="2" applyNumberFormat="1" applyFont="1" applyFill="1" applyBorder="1" applyAlignment="1">
      <alignment horizontal="right"/>
    </xf>
    <xf numFmtId="164" fontId="1" fillId="2" borderId="24" xfId="2" applyNumberFormat="1" applyFont="1" applyFill="1" applyBorder="1" applyAlignment="1">
      <alignment horizontal="right"/>
    </xf>
    <xf numFmtId="164" fontId="1" fillId="2" borderId="102" xfId="0" applyNumberFormat="1" applyFont="1" applyFill="1" applyBorder="1" applyAlignment="1">
      <alignment horizontal="right"/>
    </xf>
    <xf numFmtId="164" fontId="1" fillId="2" borderId="26" xfId="2" applyNumberFormat="1" applyFont="1" applyFill="1" applyBorder="1" applyAlignment="1">
      <alignment horizontal="right"/>
    </xf>
    <xf numFmtId="0" fontId="3" fillId="0" borderId="113" xfId="0" applyFont="1" applyBorder="1" applyAlignment="1">
      <alignment horizontal="center"/>
    </xf>
    <xf numFmtId="3" fontId="3" fillId="0" borderId="29" xfId="1" applyNumberFormat="1" applyFont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  <xf numFmtId="164" fontId="3" fillId="2" borderId="6" xfId="2" applyNumberFormat="1" applyFont="1" applyFill="1" applyBorder="1" applyAlignment="1">
      <alignment horizontal="center"/>
    </xf>
    <xf numFmtId="3" fontId="3" fillId="2" borderId="30" xfId="0" applyNumberFormat="1" applyFont="1" applyFill="1" applyBorder="1"/>
    <xf numFmtId="166" fontId="3" fillId="2" borderId="30" xfId="0" applyNumberFormat="1" applyFont="1" applyFill="1" applyBorder="1"/>
    <xf numFmtId="4" fontId="3" fillId="2" borderId="57" xfId="0" applyNumberFormat="1" applyFont="1" applyFill="1" applyBorder="1"/>
    <xf numFmtId="0" fontId="3" fillId="0" borderId="144" xfId="0" applyFont="1" applyFill="1" applyBorder="1" applyAlignment="1">
      <alignment horizontal="center"/>
    </xf>
    <xf numFmtId="0" fontId="3" fillId="0" borderId="145" xfId="0" applyFont="1" applyFill="1" applyBorder="1" applyAlignment="1">
      <alignment horizontal="center"/>
    </xf>
    <xf numFmtId="3" fontId="1" fillId="0" borderId="146" xfId="0" applyNumberFormat="1" applyFont="1" applyFill="1" applyBorder="1"/>
    <xf numFmtId="0" fontId="1" fillId="2" borderId="28" xfId="0" applyFont="1" applyFill="1" applyBorder="1" applyAlignment="1">
      <alignment horizontal="left" indent="3"/>
    </xf>
    <xf numFmtId="0" fontId="1" fillId="2" borderId="7" xfId="0" applyFont="1" applyFill="1" applyBorder="1" applyAlignment="1">
      <alignment horizontal="left" indent="3"/>
    </xf>
    <xf numFmtId="2" fontId="1" fillId="2" borderId="8" xfId="0" applyNumberFormat="1" applyFont="1" applyFill="1" applyBorder="1"/>
    <xf numFmtId="3" fontId="1" fillId="2" borderId="9" xfId="1" applyNumberFormat="1" applyFont="1" applyFill="1" applyBorder="1" applyAlignment="1">
      <alignment horizontal="left" indent="2"/>
    </xf>
    <xf numFmtId="0" fontId="1" fillId="4" borderId="16" xfId="0" applyFont="1" applyFill="1" applyBorder="1"/>
    <xf numFmtId="10" fontId="1" fillId="0" borderId="29" xfId="2" applyFont="1" applyBorder="1" applyAlignment="1">
      <alignment horizontal="center"/>
    </xf>
    <xf numFmtId="3" fontId="3" fillId="2" borderId="156" xfId="1" applyNumberFormat="1" applyFont="1" applyFill="1" applyBorder="1" applyAlignment="1">
      <alignment horizontal="center"/>
    </xf>
    <xf numFmtId="164" fontId="3" fillId="2" borderId="88" xfId="2" applyNumberFormat="1" applyFont="1" applyFill="1" applyBorder="1" applyAlignment="1">
      <alignment horizontal="center"/>
    </xf>
    <xf numFmtId="164" fontId="3" fillId="2" borderId="103" xfId="2" applyNumberFormat="1" applyFont="1" applyFill="1" applyBorder="1" applyAlignment="1">
      <alignment horizontal="center"/>
    </xf>
    <xf numFmtId="2" fontId="1" fillId="0" borderId="8" xfId="0" applyNumberFormat="1" applyFont="1" applyFill="1" applyBorder="1"/>
    <xf numFmtId="10" fontId="1" fillId="0" borderId="113" xfId="2" applyFont="1" applyBorder="1" applyAlignment="1">
      <alignment horizontal="center"/>
    </xf>
    <xf numFmtId="1" fontId="1" fillId="2" borderId="155" xfId="0" applyNumberFormat="1" applyFont="1" applyFill="1" applyBorder="1" applyAlignment="1">
      <alignment horizontal="center"/>
    </xf>
    <xf numFmtId="165" fontId="1" fillId="2" borderId="157" xfId="0" applyNumberFormat="1" applyFont="1" applyFill="1" applyBorder="1" applyAlignment="1">
      <alignment horizontal="center"/>
    </xf>
    <xf numFmtId="0" fontId="4" fillId="2" borderId="95" xfId="0" applyFont="1" applyFill="1" applyBorder="1" applyAlignment="1">
      <alignment horizontal="left" indent="1"/>
    </xf>
    <xf numFmtId="0" fontId="4" fillId="2" borderId="32" xfId="0" applyFont="1" applyFill="1" applyBorder="1" applyAlignment="1">
      <alignment horizontal="left" indent="1"/>
    </xf>
    <xf numFmtId="0" fontId="4" fillId="2" borderId="60" xfId="0" applyFont="1" applyFill="1" applyBorder="1" applyAlignment="1">
      <alignment horizontal="left" indent="1"/>
    </xf>
    <xf numFmtId="0" fontId="1" fillId="2" borderId="60" xfId="3" applyFont="1" applyFill="1" applyBorder="1"/>
    <xf numFmtId="0" fontId="1" fillId="2" borderId="70" xfId="0" applyFont="1" applyFill="1" applyBorder="1" applyAlignment="1">
      <alignment horizontal="left" indent="1"/>
    </xf>
    <xf numFmtId="0" fontId="3" fillId="0" borderId="158" xfId="0" applyFont="1" applyBorder="1" applyAlignment="1">
      <alignment horizontal="center" wrapText="1"/>
    </xf>
    <xf numFmtId="0" fontId="3" fillId="0" borderId="105" xfId="0" applyFont="1" applyBorder="1" applyAlignment="1">
      <alignment horizontal="center" wrapText="1"/>
    </xf>
    <xf numFmtId="0" fontId="3" fillId="0" borderId="104" xfId="0" applyFont="1" applyBorder="1" applyAlignment="1">
      <alignment horizontal="center" wrapText="1"/>
    </xf>
    <xf numFmtId="0" fontId="3" fillId="0" borderId="159" xfId="0" applyFont="1" applyBorder="1" applyAlignment="1">
      <alignment horizontal="center" wrapText="1"/>
    </xf>
    <xf numFmtId="0" fontId="3" fillId="0" borderId="85" xfId="0" applyFont="1" applyBorder="1" applyAlignment="1">
      <alignment horizontal="center" wrapText="1"/>
    </xf>
    <xf numFmtId="0" fontId="4" fillId="2" borderId="77" xfId="0" applyFont="1" applyFill="1" applyBorder="1" applyAlignment="1">
      <alignment horizontal="left" wrapText="1" indent="1"/>
    </xf>
    <xf numFmtId="1" fontId="1" fillId="0" borderId="48" xfId="0" applyNumberFormat="1" applyFont="1" applyBorder="1" applyAlignment="1">
      <alignment horizontal="right"/>
    </xf>
    <xf numFmtId="1" fontId="1" fillId="0" borderId="60" xfId="0" applyNumberFormat="1" applyFont="1" applyFill="1" applyBorder="1" applyAlignment="1">
      <alignment horizontal="left" indent="1"/>
    </xf>
    <xf numFmtId="164" fontId="1" fillId="2" borderId="49" xfId="4" applyNumberFormat="1" applyFont="1" applyFill="1" applyBorder="1" applyAlignment="1">
      <alignment wrapText="1"/>
    </xf>
    <xf numFmtId="0" fontId="1" fillId="2" borderId="48" xfId="4" applyNumberFormat="1" applyFont="1" applyFill="1" applyBorder="1" applyAlignment="1">
      <alignment wrapText="1"/>
    </xf>
    <xf numFmtId="0" fontId="3" fillId="2" borderId="47" xfId="0" applyFont="1" applyFill="1" applyBorder="1" applyAlignment="1">
      <alignment wrapText="1"/>
    </xf>
    <xf numFmtId="3" fontId="1" fillId="2" borderId="30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1" fontId="1" fillId="0" borderId="48" xfId="0" applyNumberFormat="1" applyFont="1" applyFill="1" applyBorder="1" applyAlignment="1">
      <alignment wrapText="1"/>
    </xf>
    <xf numFmtId="0" fontId="1" fillId="0" borderId="28" xfId="0" applyFont="1" applyBorder="1" applyAlignment="1">
      <alignment horizontal="left" wrapText="1" indent="1"/>
    </xf>
    <xf numFmtId="0" fontId="1" fillId="0" borderId="32" xfId="0" applyFont="1" applyFill="1" applyBorder="1" applyAlignment="1">
      <alignment horizontal="right"/>
    </xf>
    <xf numFmtId="0" fontId="2" fillId="0" borderId="0" xfId="0" applyFont="1" applyFill="1" applyAlignment="1" applyProtection="1">
      <alignment horizontal="center"/>
    </xf>
    <xf numFmtId="0" fontId="3" fillId="0" borderId="73" xfId="0" applyFont="1" applyBorder="1" applyAlignment="1">
      <alignment horizontal="center" wrapText="1"/>
    </xf>
    <xf numFmtId="0" fontId="3" fillId="0" borderId="160" xfId="0" applyFont="1" applyBorder="1" applyAlignment="1">
      <alignment horizontal="center" wrapText="1"/>
    </xf>
    <xf numFmtId="0" fontId="3" fillId="0" borderId="161" xfId="0" applyFont="1" applyBorder="1" applyAlignment="1">
      <alignment horizontal="center" wrapText="1"/>
    </xf>
    <xf numFmtId="0" fontId="3" fillId="0" borderId="162" xfId="0" applyFont="1" applyBorder="1" applyAlignment="1">
      <alignment horizontal="center" wrapText="1"/>
    </xf>
    <xf numFmtId="0" fontId="3" fillId="0" borderId="16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60" xfId="0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32" xfId="0" applyBorder="1" applyAlignment="1">
      <alignment horizontal="left" indent="1"/>
    </xf>
    <xf numFmtId="0" fontId="0" fillId="0" borderId="41" xfId="0" applyBorder="1"/>
    <xf numFmtId="0" fontId="0" fillId="0" borderId="42" xfId="0" applyBorder="1"/>
    <xf numFmtId="0" fontId="0" fillId="0" borderId="6" xfId="0" applyBorder="1"/>
    <xf numFmtId="1" fontId="1" fillId="0" borderId="60" xfId="0" applyNumberFormat="1" applyFont="1" applyFill="1" applyBorder="1" applyAlignment="1">
      <alignment horizontal="left" indent="2"/>
    </xf>
    <xf numFmtId="10" fontId="0" fillId="0" borderId="54" xfId="0" applyNumberFormat="1" applyBorder="1"/>
    <xf numFmtId="10" fontId="0" fillId="0" borderId="55" xfId="0" applyNumberFormat="1" applyBorder="1"/>
    <xf numFmtId="10" fontId="0" fillId="0" borderId="27" xfId="0" applyNumberFormat="1" applyBorder="1"/>
    <xf numFmtId="0" fontId="1" fillId="0" borderId="23" xfId="0" applyFont="1" applyBorder="1" applyAlignment="1">
      <alignment horizontal="left" indent="2"/>
    </xf>
    <xf numFmtId="0" fontId="0" fillId="0" borderId="47" xfId="0" applyBorder="1"/>
    <xf numFmtId="10" fontId="0" fillId="0" borderId="48" xfId="0" applyNumberFormat="1" applyBorder="1"/>
    <xf numFmtId="0" fontId="0" fillId="0" borderId="30" xfId="0" applyBorder="1"/>
    <xf numFmtId="10" fontId="0" fillId="0" borderId="48" xfId="2" applyFont="1" applyBorder="1"/>
    <xf numFmtId="0" fontId="1" fillId="0" borderId="32" xfId="0" applyFont="1" applyBorder="1" applyAlignment="1">
      <alignment horizontal="left" indent="2"/>
    </xf>
    <xf numFmtId="0" fontId="0" fillId="0" borderId="51" xfId="0" applyBorder="1"/>
    <xf numFmtId="0" fontId="0" fillId="0" borderId="52" xfId="0" applyBorder="1"/>
    <xf numFmtId="0" fontId="0" fillId="0" borderId="39" xfId="0" applyBorder="1"/>
    <xf numFmtId="0" fontId="0" fillId="0" borderId="54" xfId="0" applyBorder="1"/>
    <xf numFmtId="3" fontId="0" fillId="0" borderId="55" xfId="0" applyNumberFormat="1" applyBorder="1"/>
    <xf numFmtId="3" fontId="0" fillId="0" borderId="64" xfId="0" applyNumberFormat="1" applyBorder="1"/>
    <xf numFmtId="0" fontId="0" fillId="0" borderId="8" xfId="0" applyBorder="1"/>
    <xf numFmtId="0" fontId="1" fillId="0" borderId="77" xfId="0" applyFont="1" applyBorder="1" applyAlignment="1">
      <alignment horizontal="center"/>
    </xf>
    <xf numFmtId="0" fontId="5" fillId="0" borderId="79" xfId="0" applyFont="1" applyBorder="1"/>
    <xf numFmtId="3" fontId="5" fillId="0" borderId="80" xfId="0" applyNumberFormat="1" applyFont="1" applyBorder="1"/>
    <xf numFmtId="0" fontId="5" fillId="0" borderId="0" xfId="0" applyFont="1" applyBorder="1"/>
    <xf numFmtId="164" fontId="3" fillId="2" borderId="42" xfId="2" applyNumberFormat="1" applyFont="1" applyFill="1" applyBorder="1" applyAlignment="1">
      <alignment horizontal="center"/>
    </xf>
    <xf numFmtId="3" fontId="3" fillId="2" borderId="41" xfId="1" applyNumberFormat="1" applyFont="1" applyFill="1" applyBorder="1" applyAlignment="1">
      <alignment horizontal="center"/>
    </xf>
    <xf numFmtId="164" fontId="3" fillId="2" borderId="0" xfId="2" applyNumberFormat="1" applyFont="1" applyFill="1" applyBorder="1" applyAlignment="1">
      <alignment horizontal="center"/>
    </xf>
    <xf numFmtId="10" fontId="0" fillId="0" borderId="24" xfId="2" applyNumberFormat="1" applyFont="1" applyBorder="1"/>
    <xf numFmtId="10" fontId="0" fillId="0" borderId="26" xfId="2" applyFont="1" applyBorder="1"/>
    <xf numFmtId="0" fontId="0" fillId="0" borderId="36" xfId="0" applyBorder="1"/>
    <xf numFmtId="10" fontId="0" fillId="0" borderId="34" xfId="2" applyFont="1" applyBorder="1"/>
    <xf numFmtId="1" fontId="0" fillId="0" borderId="36" xfId="0" applyNumberFormat="1" applyBorder="1"/>
    <xf numFmtId="10" fontId="0" fillId="0" borderId="39" xfId="2" applyFont="1" applyBorder="1"/>
    <xf numFmtId="0" fontId="3" fillId="2" borderId="1" xfId="0" applyFont="1" applyFill="1" applyBorder="1"/>
    <xf numFmtId="0" fontId="0" fillId="0" borderId="55" xfId="0" applyBorder="1"/>
    <xf numFmtId="0" fontId="0" fillId="0" borderId="150" xfId="0" applyBorder="1"/>
    <xf numFmtId="0" fontId="0" fillId="0" borderId="27" xfId="0" applyBorder="1"/>
    <xf numFmtId="0" fontId="1" fillId="0" borderId="7" xfId="0" applyFont="1" applyBorder="1" applyAlignment="1">
      <alignment horizontal="left" wrapText="1" indent="3"/>
    </xf>
    <xf numFmtId="0" fontId="0" fillId="0" borderId="48" xfId="0" applyBorder="1"/>
    <xf numFmtId="0" fontId="1" fillId="0" borderId="28" xfId="0" applyFont="1" applyBorder="1" applyAlignment="1">
      <alignment horizontal="left" wrapText="1" indent="3"/>
    </xf>
    <xf numFmtId="2" fontId="1" fillId="0" borderId="7" xfId="0" applyNumberFormat="1" applyFont="1" applyBorder="1" applyAlignment="1">
      <alignment horizontal="left" wrapText="1" indent="3"/>
    </xf>
    <xf numFmtId="0" fontId="0" fillId="0" borderId="142" xfId="0" applyBorder="1"/>
    <xf numFmtId="0" fontId="3" fillId="2" borderId="60" xfId="0" applyFont="1" applyFill="1" applyBorder="1" applyAlignment="1">
      <alignment horizontal="left" indent="3"/>
    </xf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1" fillId="2" borderId="28" xfId="0" applyFont="1" applyFill="1" applyBorder="1" applyAlignment="1">
      <alignment horizontal="left" indent="5"/>
    </xf>
    <xf numFmtId="0" fontId="0" fillId="0" borderId="11" xfId="0" applyBorder="1"/>
    <xf numFmtId="0" fontId="3" fillId="2" borderId="28" xfId="0" applyFont="1" applyFill="1" applyBorder="1" applyAlignment="1">
      <alignment horizontal="left" indent="3"/>
    </xf>
    <xf numFmtId="0" fontId="1" fillId="2" borderId="7" xfId="0" applyFont="1" applyFill="1" applyBorder="1" applyAlignment="1">
      <alignment horizontal="left" indent="5"/>
    </xf>
    <xf numFmtId="0" fontId="0" fillId="0" borderId="19" xfId="0" applyBorder="1"/>
    <xf numFmtId="0" fontId="3" fillId="2" borderId="95" xfId="0" applyFont="1" applyFill="1" applyBorder="1" applyAlignment="1">
      <alignment horizontal="center"/>
    </xf>
    <xf numFmtId="0" fontId="2" fillId="0" borderId="127" xfId="0" applyFont="1" applyBorder="1"/>
    <xf numFmtId="0" fontId="3" fillId="2" borderId="95" xfId="0" applyFont="1" applyFill="1" applyBorder="1" applyAlignment="1">
      <alignment horizontal="left" indent="3"/>
    </xf>
    <xf numFmtId="10" fontId="0" fillId="0" borderId="9" xfId="2" applyFont="1" applyBorder="1"/>
    <xf numFmtId="10" fontId="0" fillId="0" borderId="12" xfId="2" applyFont="1" applyBorder="1"/>
    <xf numFmtId="10" fontId="0" fillId="0" borderId="17" xfId="2" applyFont="1" applyBorder="1"/>
    <xf numFmtId="10" fontId="0" fillId="0" borderId="20" xfId="2" applyFont="1" applyBorder="1"/>
    <xf numFmtId="0" fontId="0" fillId="0" borderId="25" xfId="0" applyBorder="1"/>
    <xf numFmtId="10" fontId="0" fillId="0" borderId="24" xfId="2" applyFont="1" applyBorder="1"/>
    <xf numFmtId="10" fontId="0" fillId="0" borderId="37" xfId="2" applyFont="1" applyBorder="1"/>
    <xf numFmtId="165" fontId="2" fillId="0" borderId="126" xfId="0" applyNumberFormat="1" applyFont="1" applyBorder="1"/>
    <xf numFmtId="165" fontId="0" fillId="0" borderId="65" xfId="0" applyNumberFormat="1" applyBorder="1"/>
    <xf numFmtId="1" fontId="0" fillId="0" borderId="150" xfId="0" applyNumberFormat="1" applyBorder="1"/>
    <xf numFmtId="1" fontId="0" fillId="0" borderId="45" xfId="0" applyNumberFormat="1" applyBorder="1"/>
    <xf numFmtId="1" fontId="0" fillId="0" borderId="25" xfId="0" applyNumberFormat="1" applyBorder="1"/>
    <xf numFmtId="1" fontId="0" fillId="0" borderId="65" xfId="0" applyNumberFormat="1" applyBorder="1"/>
    <xf numFmtId="1" fontId="0" fillId="0" borderId="109" xfId="0" applyNumberFormat="1" applyBorder="1"/>
    <xf numFmtId="3" fontId="0" fillId="0" borderId="48" xfId="0" applyNumberFormat="1" applyBorder="1"/>
    <xf numFmtId="0" fontId="0" fillId="0" borderId="164" xfId="0" applyBorder="1"/>
    <xf numFmtId="3" fontId="0" fillId="0" borderId="165" xfId="0" applyNumberFormat="1" applyBorder="1"/>
    <xf numFmtId="0" fontId="0" fillId="0" borderId="79" xfId="0" applyBorder="1"/>
    <xf numFmtId="0" fontId="0" fillId="0" borderId="82" xfId="0" applyBorder="1"/>
    <xf numFmtId="0" fontId="0" fillId="0" borderId="105" xfId="0" applyBorder="1"/>
    <xf numFmtId="0" fontId="2" fillId="0" borderId="128" xfId="0" applyFont="1" applyBorder="1"/>
    <xf numFmtId="0" fontId="1" fillId="0" borderId="28" xfId="0" applyFont="1" applyFill="1" applyBorder="1" applyAlignment="1">
      <alignment horizontal="left" indent="1"/>
    </xf>
    <xf numFmtId="1" fontId="3" fillId="0" borderId="166" xfId="0" applyNumberFormat="1" applyFont="1" applyBorder="1" applyAlignment="1">
      <alignment horizontal="right"/>
    </xf>
    <xf numFmtId="1" fontId="3" fillId="0" borderId="156" xfId="0" applyNumberFormat="1" applyFont="1" applyBorder="1" applyAlignment="1">
      <alignment horizontal="right"/>
    </xf>
    <xf numFmtId="1" fontId="1" fillId="0" borderId="29" xfId="0" applyNumberFormat="1" applyFont="1" applyFill="1" applyBorder="1"/>
    <xf numFmtId="0" fontId="0" fillId="0" borderId="0" xfId="0" applyFill="1"/>
    <xf numFmtId="1" fontId="1" fillId="0" borderId="50" xfId="0" applyNumberFormat="1" applyFont="1" applyFill="1" applyBorder="1"/>
    <xf numFmtId="1" fontId="1" fillId="0" borderId="9" xfId="0" applyNumberFormat="1" applyFont="1" applyFill="1" applyBorder="1" applyAlignment="1">
      <alignment horizontal="right"/>
    </xf>
    <xf numFmtId="1" fontId="0" fillId="0" borderId="0" xfId="0" applyNumberFormat="1" applyFill="1" applyBorder="1"/>
    <xf numFmtId="1" fontId="1" fillId="0" borderId="56" xfId="0" applyNumberFormat="1" applyFont="1" applyFill="1" applyBorder="1"/>
    <xf numFmtId="1" fontId="1" fillId="0" borderId="57" xfId="0" applyNumberFormat="1" applyFont="1" applyFill="1" applyBorder="1"/>
    <xf numFmtId="1" fontId="0" fillId="0" borderId="0" xfId="0" applyNumberFormat="1" applyFill="1"/>
    <xf numFmtId="164" fontId="1" fillId="3" borderId="10" xfId="2" applyNumberFormat="1" applyFont="1" applyFill="1" applyBorder="1" applyAlignment="1">
      <alignment horizontal="right"/>
    </xf>
    <xf numFmtId="0" fontId="1" fillId="3" borderId="61" xfId="0" applyFont="1" applyFill="1" applyBorder="1" applyAlignment="1">
      <alignment horizontal="right"/>
    </xf>
    <xf numFmtId="164" fontId="1" fillId="3" borderId="9" xfId="2" applyNumberFormat="1" applyFont="1" applyFill="1" applyBorder="1" applyAlignment="1">
      <alignment horizontal="right"/>
    </xf>
    <xf numFmtId="0" fontId="1" fillId="3" borderId="62" xfId="0" applyFont="1" applyFill="1" applyBorder="1" applyAlignment="1">
      <alignment horizontal="right"/>
    </xf>
    <xf numFmtId="0" fontId="1" fillId="2" borderId="133" xfId="0" applyFont="1" applyFill="1" applyBorder="1" applyAlignment="1">
      <alignment horizontal="center"/>
    </xf>
    <xf numFmtId="0" fontId="1" fillId="2" borderId="167" xfId="0" applyFont="1" applyFill="1" applyBorder="1" applyAlignment="1">
      <alignment horizontal="center"/>
    </xf>
    <xf numFmtId="0" fontId="3" fillId="0" borderId="158" xfId="0" applyFont="1" applyBorder="1" applyAlignment="1">
      <alignment horizontal="center"/>
    </xf>
    <xf numFmtId="0" fontId="3" fillId="0" borderId="105" xfId="0" applyFont="1" applyBorder="1" applyAlignment="1">
      <alignment horizontal="center"/>
    </xf>
    <xf numFmtId="1" fontId="1" fillId="3" borderId="25" xfId="2" applyNumberFormat="1" applyFont="1" applyFill="1" applyBorder="1" applyAlignment="1">
      <alignment horizontal="center"/>
    </xf>
    <xf numFmtId="1" fontId="1" fillId="3" borderId="36" xfId="2" applyNumberFormat="1" applyFont="1" applyFill="1" applyBorder="1" applyAlignment="1">
      <alignment horizontal="center"/>
    </xf>
    <xf numFmtId="0" fontId="3" fillId="0" borderId="161" xfId="0" applyFont="1" applyBorder="1" applyAlignment="1">
      <alignment horizontal="center"/>
    </xf>
    <xf numFmtId="0" fontId="3" fillId="0" borderId="107" xfId="0" applyFont="1" applyBorder="1" applyAlignment="1">
      <alignment horizontal="center"/>
    </xf>
    <xf numFmtId="0" fontId="0" fillId="3" borderId="63" xfId="0" applyFill="1" applyBorder="1"/>
    <xf numFmtId="3" fontId="0" fillId="3" borderId="66" xfId="0" applyNumberFormat="1" applyFill="1" applyBorder="1"/>
    <xf numFmtId="3" fontId="0" fillId="3" borderId="64" xfId="0" applyNumberFormat="1" applyFill="1" applyBorder="1"/>
    <xf numFmtId="3" fontId="0" fillId="3" borderId="24" xfId="0" applyNumberFormat="1" applyFill="1" applyBorder="1"/>
    <xf numFmtId="0" fontId="0" fillId="3" borderId="36" xfId="0" applyFill="1" applyBorder="1"/>
    <xf numFmtId="10" fontId="0" fillId="3" borderId="34" xfId="2" applyFont="1" applyFill="1" applyBorder="1"/>
    <xf numFmtId="0" fontId="0" fillId="3" borderId="11" xfId="0" applyFill="1" applyBorder="1"/>
    <xf numFmtId="0" fontId="0" fillId="3" borderId="105" xfId="0" applyFill="1" applyBorder="1"/>
    <xf numFmtId="0" fontId="2" fillId="3" borderId="126" xfId="0" applyFont="1" applyFill="1" applyBorder="1"/>
    <xf numFmtId="165" fontId="2" fillId="3" borderId="126" xfId="0" applyNumberFormat="1" applyFont="1" applyFill="1" applyBorder="1"/>
    <xf numFmtId="0" fontId="3" fillId="0" borderId="0" xfId="0" applyFont="1" applyBorder="1" applyAlignment="1"/>
    <xf numFmtId="0" fontId="1" fillId="2" borderId="46" xfId="0" applyFont="1" applyFill="1" applyBorder="1"/>
    <xf numFmtId="165" fontId="1" fillId="2" borderId="69" xfId="0" applyNumberFormat="1" applyFont="1" applyFill="1" applyBorder="1" applyAlignment="1">
      <alignment horizontal="right"/>
    </xf>
    <xf numFmtId="1" fontId="1" fillId="2" borderId="46" xfId="0" applyNumberFormat="1" applyFont="1" applyFill="1" applyBorder="1" applyAlignment="1">
      <alignment horizontal="right"/>
    </xf>
    <xf numFmtId="165" fontId="3" fillId="2" borderId="129" xfId="0" applyNumberFormat="1" applyFont="1" applyFill="1" applyBorder="1" applyAlignment="1">
      <alignment horizontal="right"/>
    </xf>
    <xf numFmtId="1" fontId="3" fillId="2" borderId="168" xfId="0" applyNumberFormat="1" applyFont="1" applyFill="1" applyBorder="1" applyAlignment="1">
      <alignment horizontal="right"/>
    </xf>
    <xf numFmtId="165" fontId="1" fillId="2" borderId="83" xfId="0" applyNumberFormat="1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2" fontId="1" fillId="2" borderId="56" xfId="0" applyNumberFormat="1" applyFont="1" applyFill="1" applyBorder="1"/>
    <xf numFmtId="2" fontId="1" fillId="2" borderId="57" xfId="0" applyNumberFormat="1" applyFont="1" applyFill="1" applyBorder="1"/>
    <xf numFmtId="10" fontId="1" fillId="0" borderId="39" xfId="2" applyFont="1" applyBorder="1" applyAlignment="1">
      <alignment horizontal="center"/>
    </xf>
    <xf numFmtId="1" fontId="1" fillId="2" borderId="113" xfId="0" applyNumberFormat="1" applyFont="1" applyFill="1" applyBorder="1"/>
    <xf numFmtId="10" fontId="3" fillId="0" borderId="113" xfId="2" applyFont="1" applyBorder="1" applyAlignment="1">
      <alignment horizontal="center"/>
    </xf>
    <xf numFmtId="10" fontId="1" fillId="0" borderId="26" xfId="2" applyFont="1" applyBorder="1" applyAlignment="1">
      <alignment horizontal="center"/>
    </xf>
    <xf numFmtId="10" fontId="1" fillId="0" borderId="37" xfId="2" applyFont="1" applyBorder="1" applyAlignment="1">
      <alignment horizontal="center"/>
    </xf>
    <xf numFmtId="165" fontId="1" fillId="0" borderId="46" xfId="0" applyNumberFormat="1" applyFont="1" applyFill="1" applyBorder="1"/>
    <xf numFmtId="3" fontId="1" fillId="3" borderId="30" xfId="1" applyNumberFormat="1" applyFont="1" applyFill="1" applyBorder="1" applyAlignment="1">
      <alignment horizontal="right"/>
    </xf>
    <xf numFmtId="3" fontId="1" fillId="3" borderId="30" xfId="0" applyNumberFormat="1" applyFont="1" applyFill="1" applyBorder="1"/>
    <xf numFmtId="3" fontId="3" fillId="3" borderId="39" xfId="0" applyNumberFormat="1" applyFont="1" applyFill="1" applyBorder="1" applyAlignment="1">
      <alignment horizontal="right"/>
    </xf>
    <xf numFmtId="1" fontId="3" fillId="3" borderId="103" xfId="0" applyNumberFormat="1" applyFont="1" applyFill="1" applyBorder="1" applyAlignment="1">
      <alignment horizontal="right"/>
    </xf>
    <xf numFmtId="1" fontId="1" fillId="3" borderId="67" xfId="0" applyNumberFormat="1" applyFont="1" applyFill="1" applyBorder="1" applyAlignment="1">
      <alignment horizontal="right"/>
    </xf>
    <xf numFmtId="1" fontId="3" fillId="3" borderId="81" xfId="0" applyNumberFormat="1" applyFont="1" applyFill="1" applyBorder="1" applyAlignment="1">
      <alignment horizontal="right"/>
    </xf>
    <xf numFmtId="10" fontId="1" fillId="3" borderId="46" xfId="2" applyFont="1" applyFill="1" applyBorder="1" applyAlignment="1">
      <alignment horizontal="right"/>
    </xf>
    <xf numFmtId="10" fontId="1" fillId="3" borderId="39" xfId="2" applyFont="1" applyFill="1" applyBorder="1" applyAlignment="1">
      <alignment horizontal="right"/>
    </xf>
    <xf numFmtId="3" fontId="1" fillId="3" borderId="57" xfId="0" applyNumberFormat="1" applyFont="1" applyFill="1" applyBorder="1"/>
    <xf numFmtId="3" fontId="3" fillId="3" borderId="81" xfId="0" applyNumberFormat="1" applyFont="1" applyFill="1" applyBorder="1"/>
    <xf numFmtId="0" fontId="3" fillId="2" borderId="29" xfId="0" applyFont="1" applyFill="1" applyBorder="1" applyAlignment="1">
      <alignment horizontal="center"/>
    </xf>
    <xf numFmtId="0" fontId="1" fillId="3" borderId="12" xfId="0" applyFont="1" applyFill="1" applyBorder="1"/>
    <xf numFmtId="1" fontId="1" fillId="3" borderId="37" xfId="0" applyNumberFormat="1" applyFont="1" applyFill="1" applyBorder="1" applyAlignment="1">
      <alignment horizontal="right"/>
    </xf>
    <xf numFmtId="10" fontId="1" fillId="3" borderId="30" xfId="2" applyFont="1" applyFill="1" applyBorder="1" applyAlignment="1">
      <alignment horizontal="right"/>
    </xf>
    <xf numFmtId="1" fontId="1" fillId="3" borderId="39" xfId="0" applyNumberFormat="1" applyFont="1" applyFill="1" applyBorder="1" applyAlignment="1">
      <alignment horizontal="right"/>
    </xf>
    <xf numFmtId="10" fontId="1" fillId="0" borderId="115" xfId="2" applyFont="1" applyBorder="1" applyAlignment="1">
      <alignment horizontal="center"/>
    </xf>
    <xf numFmtId="10" fontId="1" fillId="0" borderId="14" xfId="2" applyFont="1" applyBorder="1" applyAlignment="1">
      <alignment horizontal="center"/>
    </xf>
    <xf numFmtId="0" fontId="1" fillId="0" borderId="170" xfId="0" applyFont="1" applyFill="1" applyBorder="1"/>
    <xf numFmtId="0" fontId="1" fillId="4" borderId="72" xfId="0" applyFont="1" applyFill="1" applyBorder="1" applyAlignment="1">
      <alignment horizontal="right"/>
    </xf>
    <xf numFmtId="1" fontId="1" fillId="0" borderId="52" xfId="0" applyNumberFormat="1" applyFont="1" applyBorder="1" applyAlignment="1">
      <alignment horizontal="right"/>
    </xf>
    <xf numFmtId="1" fontId="3" fillId="3" borderId="26" xfId="0" applyNumberFormat="1" applyFont="1" applyFill="1" applyBorder="1" applyAlignment="1">
      <alignment horizontal="right"/>
    </xf>
    <xf numFmtId="1" fontId="3" fillId="3" borderId="67" xfId="0" applyNumberFormat="1" applyFont="1" applyFill="1" applyBorder="1" applyAlignment="1">
      <alignment horizontal="right"/>
    </xf>
    <xf numFmtId="1" fontId="3" fillId="3" borderId="20" xfId="0" applyNumberFormat="1" applyFont="1" applyFill="1" applyBorder="1" applyAlignment="1">
      <alignment horizontal="right"/>
    </xf>
    <xf numFmtId="0" fontId="3" fillId="0" borderId="107" xfId="0" applyFont="1" applyBorder="1" applyAlignment="1">
      <alignment horizontal="center" wrapText="1"/>
    </xf>
    <xf numFmtId="0" fontId="3" fillId="0" borderId="61" xfId="0" applyFont="1" applyBorder="1" applyAlignment="1">
      <alignment horizontal="center"/>
    </xf>
    <xf numFmtId="0" fontId="3" fillId="0" borderId="171" xfId="0" applyFont="1" applyBorder="1" applyAlignment="1">
      <alignment horizontal="center" wrapText="1"/>
    </xf>
    <xf numFmtId="1" fontId="3" fillId="0" borderId="172" xfId="0" applyNumberFormat="1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173" xfId="0" applyFont="1" applyBorder="1" applyAlignment="1">
      <alignment horizontal="center" wrapText="1"/>
    </xf>
    <xf numFmtId="0" fontId="3" fillId="0" borderId="111" xfId="0" applyFont="1" applyBorder="1" applyAlignment="1">
      <alignment horizontal="center"/>
    </xf>
    <xf numFmtId="1" fontId="3" fillId="3" borderId="84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right"/>
    </xf>
    <xf numFmtId="1" fontId="1" fillId="3" borderId="104" xfId="0" applyNumberFormat="1" applyFont="1" applyFill="1" applyBorder="1" applyAlignment="1">
      <alignment horizontal="right"/>
    </xf>
    <xf numFmtId="1" fontId="3" fillId="3" borderId="89" xfId="0" applyNumberFormat="1" applyFont="1" applyFill="1" applyBorder="1" applyAlignment="1">
      <alignment horizontal="right"/>
    </xf>
    <xf numFmtId="3" fontId="6" fillId="4" borderId="9" xfId="6" applyNumberFormat="1" applyFont="1" applyFill="1" applyBorder="1" applyAlignment="1">
      <alignment horizontal="right"/>
    </xf>
    <xf numFmtId="3" fontId="6" fillId="4" borderId="107" xfId="6" applyNumberFormat="1" applyFont="1" applyFill="1" applyBorder="1" applyAlignment="1">
      <alignment horizontal="right"/>
    </xf>
    <xf numFmtId="0" fontId="3" fillId="0" borderId="70" xfId="0" applyFont="1" applyBorder="1" applyAlignment="1">
      <alignment horizontal="center"/>
    </xf>
    <xf numFmtId="0" fontId="1" fillId="0" borderId="174" xfId="0" applyFont="1" applyBorder="1" applyAlignment="1">
      <alignment horizontal="left" indent="1"/>
    </xf>
    <xf numFmtId="0" fontId="3" fillId="0" borderId="15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22" xfId="0" applyFont="1" applyBorder="1" applyAlignment="1">
      <alignment horizontal="center" wrapText="1"/>
    </xf>
    <xf numFmtId="0" fontId="3" fillId="0" borderId="175" xfId="0" applyFont="1" applyBorder="1" applyAlignment="1">
      <alignment horizontal="center"/>
    </xf>
    <xf numFmtId="0" fontId="3" fillId="0" borderId="162" xfId="0" applyFont="1" applyBorder="1" applyAlignment="1">
      <alignment horizontal="center"/>
    </xf>
    <xf numFmtId="0" fontId="3" fillId="0" borderId="171" xfId="0" applyFont="1" applyBorder="1" applyAlignment="1">
      <alignment horizontal="center"/>
    </xf>
    <xf numFmtId="0" fontId="1" fillId="3" borderId="67" xfId="0" applyFont="1" applyFill="1" applyBorder="1"/>
    <xf numFmtId="1" fontId="1" fillId="3" borderId="11" xfId="2" applyNumberFormat="1" applyFont="1" applyFill="1" applyBorder="1" applyAlignment="1">
      <alignment horizontal="center"/>
    </xf>
    <xf numFmtId="10" fontId="1" fillId="3" borderId="9" xfId="2" applyFont="1" applyFill="1" applyBorder="1" applyAlignment="1">
      <alignment horizontal="center"/>
    </xf>
    <xf numFmtId="1" fontId="1" fillId="3" borderId="65" xfId="2" applyNumberFormat="1" applyFont="1" applyFill="1" applyBorder="1" applyAlignment="1">
      <alignment horizontal="center"/>
    </xf>
    <xf numFmtId="10" fontId="1" fillId="3" borderId="66" xfId="2" applyFont="1" applyFill="1" applyBorder="1" applyAlignment="1">
      <alignment horizontal="center"/>
    </xf>
    <xf numFmtId="10" fontId="1" fillId="3" borderId="24" xfId="2" applyFont="1" applyFill="1" applyBorder="1" applyAlignment="1">
      <alignment horizontal="center"/>
    </xf>
    <xf numFmtId="10" fontId="1" fillId="3" borderId="34" xfId="2" applyFont="1" applyFill="1" applyBorder="1" applyAlignment="1">
      <alignment horizontal="center"/>
    </xf>
    <xf numFmtId="1" fontId="1" fillId="3" borderId="19" xfId="2" applyNumberFormat="1" applyFont="1" applyFill="1" applyBorder="1" applyAlignment="1">
      <alignment horizontal="center"/>
    </xf>
    <xf numFmtId="10" fontId="1" fillId="3" borderId="17" xfId="2" applyFont="1" applyFill="1" applyBorder="1" applyAlignment="1">
      <alignment horizontal="center"/>
    </xf>
    <xf numFmtId="1" fontId="1" fillId="3" borderId="122" xfId="2" applyNumberFormat="1" applyFont="1" applyFill="1" applyBorder="1" applyAlignment="1">
      <alignment horizontal="center"/>
    </xf>
    <xf numFmtId="10" fontId="1" fillId="3" borderId="90" xfId="2" applyFont="1" applyFill="1" applyBorder="1" applyAlignment="1">
      <alignment horizontal="center"/>
    </xf>
    <xf numFmtId="1" fontId="3" fillId="3" borderId="111" xfId="0" applyNumberFormat="1" applyFont="1" applyFill="1" applyBorder="1" applyAlignment="1">
      <alignment horizontal="right"/>
    </xf>
    <xf numFmtId="10" fontId="0" fillId="3" borderId="48" xfId="0" applyNumberFormat="1" applyFill="1" applyBorder="1"/>
    <xf numFmtId="10" fontId="0" fillId="3" borderId="48" xfId="2" applyFont="1" applyFill="1" applyBorder="1"/>
    <xf numFmtId="1" fontId="0" fillId="3" borderId="27" xfId="0" applyNumberFormat="1" applyFill="1" applyBorder="1"/>
    <xf numFmtId="1" fontId="0" fillId="3" borderId="46" xfId="0" applyNumberFormat="1" applyFill="1" applyBorder="1"/>
    <xf numFmtId="3" fontId="0" fillId="3" borderId="27" xfId="0" applyNumberFormat="1" applyFill="1" applyBorder="1"/>
    <xf numFmtId="3" fontId="0" fillId="3" borderId="30" xfId="0" applyNumberFormat="1" applyFill="1" applyBorder="1"/>
    <xf numFmtId="3" fontId="0" fillId="3" borderId="120" xfId="0" applyNumberFormat="1" applyFill="1" applyBorder="1"/>
    <xf numFmtId="3" fontId="0" fillId="3" borderId="81" xfId="0" applyNumberFormat="1" applyFill="1" applyBorder="1"/>
    <xf numFmtId="0" fontId="0" fillId="3" borderId="30" xfId="0" applyFill="1" applyBorder="1"/>
    <xf numFmtId="1" fontId="0" fillId="0" borderId="45" xfId="0" applyNumberFormat="1" applyBorder="1" applyAlignment="1">
      <alignment horizontal="center"/>
    </xf>
    <xf numFmtId="1" fontId="0" fillId="0" borderId="150" xfId="0" applyNumberFormat="1" applyBorder="1" applyAlignment="1">
      <alignment horizontal="right"/>
    </xf>
    <xf numFmtId="1" fontId="0" fillId="3" borderId="46" xfId="0" applyNumberFormat="1" applyFill="1" applyBorder="1" applyAlignment="1">
      <alignment horizontal="center"/>
    </xf>
    <xf numFmtId="1" fontId="3" fillId="3" borderId="176" xfId="0" applyNumberFormat="1" applyFont="1" applyFill="1" applyBorder="1" applyAlignment="1">
      <alignment horizontal="right"/>
    </xf>
    <xf numFmtId="1" fontId="0" fillId="0" borderId="150" xfId="0" applyNumberFormat="1" applyBorder="1" applyAlignment="1">
      <alignment horizontal="center"/>
    </xf>
    <xf numFmtId="1" fontId="0" fillId="3" borderId="65" xfId="0" applyNumberFormat="1" applyFill="1" applyBorder="1"/>
    <xf numFmtId="1" fontId="0" fillId="3" borderId="45" xfId="0" applyNumberFormat="1" applyFill="1" applyBorder="1"/>
    <xf numFmtId="1" fontId="0" fillId="0" borderId="45" xfId="0" applyNumberFormat="1" applyBorder="1" applyAlignment="1">
      <alignment horizontal="right"/>
    </xf>
    <xf numFmtId="1" fontId="0" fillId="0" borderId="65" xfId="0" applyNumberFormat="1" applyBorder="1" applyAlignment="1">
      <alignment horizontal="right"/>
    </xf>
    <xf numFmtId="0" fontId="1" fillId="3" borderId="8" xfId="0" applyFont="1" applyFill="1" applyBorder="1"/>
    <xf numFmtId="0" fontId="1" fillId="3" borderId="10" xfId="0" applyFont="1" applyFill="1" applyBorder="1"/>
    <xf numFmtId="1" fontId="1" fillId="0" borderId="113" xfId="0" applyNumberFormat="1" applyFont="1" applyBorder="1"/>
    <xf numFmtId="1" fontId="1" fillId="0" borderId="27" xfId="0" applyNumberFormat="1" applyFont="1" applyFill="1" applyBorder="1"/>
    <xf numFmtId="1" fontId="5" fillId="0" borderId="0" xfId="0" applyNumberFormat="1" applyFont="1"/>
    <xf numFmtId="0" fontId="3" fillId="3" borderId="43" xfId="3" applyFont="1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3" fillId="3" borderId="47" xfId="0" applyFont="1" applyFill="1" applyBorder="1"/>
    <xf numFmtId="0" fontId="3" fillId="3" borderId="61" xfId="0" applyFont="1" applyFill="1" applyBorder="1"/>
    <xf numFmtId="4" fontId="1" fillId="3" borderId="57" xfId="0" applyNumberFormat="1" applyFont="1" applyFill="1" applyBorder="1"/>
    <xf numFmtId="0" fontId="3" fillId="3" borderId="147" xfId="0" applyFont="1" applyFill="1" applyBorder="1" applyAlignment="1">
      <alignment horizontal="center"/>
    </xf>
    <xf numFmtId="0" fontId="3" fillId="3" borderId="136" xfId="0" applyFont="1" applyFill="1" applyBorder="1" applyAlignment="1">
      <alignment horizontal="center"/>
    </xf>
    <xf numFmtId="0" fontId="1" fillId="3" borderId="63" xfId="0" applyFont="1" applyFill="1" applyBorder="1"/>
    <xf numFmtId="3" fontId="1" fillId="3" borderId="67" xfId="1" applyNumberFormat="1" applyFont="1" applyFill="1" applyBorder="1" applyAlignment="1">
      <alignment horizontal="right"/>
    </xf>
    <xf numFmtId="165" fontId="1" fillId="3" borderId="8" xfId="0" applyNumberFormat="1" applyFont="1" applyFill="1" applyBorder="1"/>
    <xf numFmtId="3" fontId="1" fillId="3" borderId="12" xfId="1" applyNumberFormat="1" applyFont="1" applyFill="1" applyBorder="1" applyAlignment="1">
      <alignment horizontal="right"/>
    </xf>
    <xf numFmtId="3" fontId="1" fillId="3" borderId="12" xfId="0" applyNumberFormat="1" applyFont="1" applyFill="1" applyBorder="1"/>
    <xf numFmtId="165" fontId="1" fillId="3" borderId="16" xfId="0" applyNumberFormat="1" applyFont="1" applyFill="1" applyBorder="1"/>
    <xf numFmtId="3" fontId="1" fillId="3" borderId="20" xfId="0" applyNumberFormat="1" applyFont="1" applyFill="1" applyBorder="1"/>
    <xf numFmtId="165" fontId="3" fillId="3" borderId="148" xfId="0" applyNumberFormat="1" applyFont="1" applyFill="1" applyBorder="1" applyAlignment="1">
      <alignment horizontal="right"/>
    </xf>
    <xf numFmtId="3" fontId="3" fillId="3" borderId="128" xfId="0" applyNumberFormat="1" applyFont="1" applyFill="1" applyBorder="1" applyAlignment="1">
      <alignment horizontal="right"/>
    </xf>
    <xf numFmtId="0" fontId="3" fillId="3" borderId="150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right"/>
    </xf>
    <xf numFmtId="164" fontId="1" fillId="3" borderId="67" xfId="2" applyNumberFormat="1" applyFont="1" applyFill="1" applyBorder="1" applyAlignment="1">
      <alignment horizontal="right"/>
    </xf>
    <xf numFmtId="0" fontId="1" fillId="3" borderId="49" xfId="0" applyFont="1" applyFill="1" applyBorder="1" applyAlignment="1">
      <alignment horizontal="right"/>
    </xf>
    <xf numFmtId="164" fontId="1" fillId="3" borderId="12" xfId="2" applyNumberFormat="1" applyFont="1" applyFill="1" applyBorder="1" applyAlignment="1">
      <alignment horizontal="right"/>
    </xf>
    <xf numFmtId="164" fontId="1" fillId="3" borderId="20" xfId="2" applyNumberFormat="1" applyFont="1" applyFill="1" applyBorder="1" applyAlignment="1">
      <alignment horizontal="right"/>
    </xf>
    <xf numFmtId="0" fontId="3" fillId="3" borderId="102" xfId="0" applyFont="1" applyFill="1" applyBorder="1" applyAlignment="1">
      <alignment horizontal="right"/>
    </xf>
    <xf numFmtId="164" fontId="3" fillId="3" borderId="26" xfId="2" applyNumberFormat="1" applyFont="1" applyFill="1" applyBorder="1" applyAlignment="1">
      <alignment horizontal="right"/>
    </xf>
    <xf numFmtId="3" fontId="1" fillId="3" borderId="49" xfId="1" applyNumberFormat="1" applyFont="1" applyFill="1" applyBorder="1" applyAlignment="1">
      <alignment horizontal="right"/>
    </xf>
    <xf numFmtId="3" fontId="1" fillId="3" borderId="16" xfId="1" applyNumberFormat="1" applyFont="1" applyFill="1" applyBorder="1" applyAlignment="1">
      <alignment horizontal="right"/>
    </xf>
    <xf numFmtId="164" fontId="1" fillId="3" borderId="102" xfId="0" applyNumberFormat="1" applyFont="1" applyFill="1" applyBorder="1" applyAlignment="1">
      <alignment horizontal="right"/>
    </xf>
    <xf numFmtId="164" fontId="1" fillId="3" borderId="26" xfId="2" applyNumberFormat="1" applyFont="1" applyFill="1" applyBorder="1" applyAlignment="1">
      <alignment horizontal="right"/>
    </xf>
    <xf numFmtId="3" fontId="1" fillId="3" borderId="8" xfId="1" applyNumberFormat="1" applyFont="1" applyFill="1" applyBorder="1" applyAlignment="1">
      <alignment horizontal="right"/>
    </xf>
    <xf numFmtId="3" fontId="1" fillId="3" borderId="33" xfId="1" applyNumberFormat="1" applyFont="1" applyFill="1" applyBorder="1" applyAlignment="1">
      <alignment horizontal="right"/>
    </xf>
    <xf numFmtId="164" fontId="1" fillId="3" borderId="37" xfId="2" applyNumberFormat="1" applyFont="1" applyFill="1" applyBorder="1" applyAlignment="1">
      <alignment horizontal="right"/>
    </xf>
    <xf numFmtId="10" fontId="1" fillId="3" borderId="26" xfId="2" applyFont="1" applyFill="1" applyBorder="1" applyAlignment="1">
      <alignment horizontal="center"/>
    </xf>
    <xf numFmtId="10" fontId="1" fillId="3" borderId="37" xfId="2" applyFont="1" applyFill="1" applyBorder="1" applyAlignment="1">
      <alignment horizontal="center"/>
    </xf>
    <xf numFmtId="10" fontId="1" fillId="3" borderId="44" xfId="2" applyFont="1" applyFill="1" applyBorder="1" applyAlignment="1">
      <alignment horizontal="right"/>
    </xf>
    <xf numFmtId="10" fontId="1" fillId="3" borderId="48" xfId="2" applyFont="1" applyFill="1" applyBorder="1" applyAlignment="1">
      <alignment horizontal="right"/>
    </xf>
    <xf numFmtId="10" fontId="3" fillId="0" borderId="69" xfId="2" applyFont="1" applyBorder="1" applyAlignment="1">
      <alignment horizontal="center"/>
    </xf>
    <xf numFmtId="10" fontId="1" fillId="3" borderId="52" xfId="2" applyFont="1" applyFill="1" applyBorder="1" applyAlignment="1">
      <alignment horizontal="right"/>
    </xf>
    <xf numFmtId="0" fontId="3" fillId="0" borderId="11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1" fillId="0" borderId="51" xfId="3" applyNumberFormat="1" applyFont="1" applyBorder="1" applyAlignment="1"/>
    <xf numFmtId="164" fontId="1" fillId="0" borderId="52" xfId="3" applyNumberFormat="1" applyFont="1" applyBorder="1" applyAlignment="1"/>
    <xf numFmtId="164" fontId="1" fillId="0" borderId="53" xfId="3" applyNumberFormat="1" applyFont="1" applyBorder="1" applyAlignment="1"/>
    <xf numFmtId="164" fontId="1" fillId="0" borderId="53" xfId="3" applyNumberFormat="1" applyFont="1" applyFill="1" applyBorder="1" applyAlignment="1"/>
    <xf numFmtId="164" fontId="1" fillId="0" borderId="52" xfId="3" applyNumberFormat="1" applyFont="1" applyFill="1" applyBorder="1" applyAlignment="1"/>
    <xf numFmtId="0" fontId="3" fillId="0" borderId="41" xfId="3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3" fillId="0" borderId="41" xfId="3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3" fillId="0" borderId="121" xfId="3" applyFont="1" applyFill="1" applyBorder="1" applyAlignment="1">
      <alignment horizontal="center"/>
    </xf>
    <xf numFmtId="0" fontId="3" fillId="2" borderId="41" xfId="3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1" fillId="0" borderId="38" xfId="0" applyNumberFormat="1" applyFont="1" applyBorder="1" applyAlignment="1">
      <alignment horizontal="right"/>
    </xf>
    <xf numFmtId="164" fontId="1" fillId="0" borderId="39" xfId="0" applyNumberFormat="1" applyFont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1" fillId="0" borderId="51" xfId="3" applyNumberFormat="1" applyFont="1" applyFill="1" applyBorder="1" applyAlignment="1"/>
    <xf numFmtId="164" fontId="1" fillId="0" borderId="39" xfId="3" applyNumberFormat="1" applyFont="1" applyFill="1" applyBorder="1" applyAlignment="1"/>
    <xf numFmtId="0" fontId="1" fillId="2" borderId="42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164" fontId="1" fillId="2" borderId="53" xfId="3" applyNumberFormat="1" applyFont="1" applyFill="1" applyBorder="1" applyAlignment="1"/>
    <xf numFmtId="164" fontId="1" fillId="2" borderId="52" xfId="3" applyNumberFormat="1" applyFont="1" applyFill="1" applyBorder="1" applyAlignment="1"/>
    <xf numFmtId="164" fontId="1" fillId="2" borderId="38" xfId="3" applyNumberFormat="1" applyFont="1" applyFill="1" applyBorder="1" applyAlignment="1"/>
    <xf numFmtId="164" fontId="1" fillId="2" borderId="39" xfId="3" applyNumberFormat="1" applyFont="1" applyFill="1" applyBorder="1" applyAlignment="1"/>
    <xf numFmtId="164" fontId="1" fillId="2" borderId="51" xfId="3" applyNumberFormat="1" applyFont="1" applyFill="1" applyBorder="1" applyAlignment="1"/>
    <xf numFmtId="0" fontId="3" fillId="2" borderId="2" xfId="3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169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1" fillId="2" borderId="38" xfId="3" applyNumberFormat="1" applyFont="1" applyFill="1" applyBorder="1" applyAlignment="1">
      <alignment horizontal="center"/>
    </xf>
    <xf numFmtId="164" fontId="1" fillId="2" borderId="39" xfId="3" applyNumberFormat="1" applyFont="1" applyFill="1" applyBorder="1" applyAlignment="1">
      <alignment horizontal="center"/>
    </xf>
  </cellXfs>
  <cellStyles count="7">
    <cellStyle name="Comma" xfId="1" builtinId="3"/>
    <cellStyle name="Comma 3" xfId="6"/>
    <cellStyle name="Normal" xfId="0" builtinId="0"/>
    <cellStyle name="Normal 4" xfId="5"/>
    <cellStyle name="Normal_Accounting" xfId="3"/>
    <cellStyle name="Percent" xfId="2" builtinId="5"/>
    <cellStyle name="Percent_Accounting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BreakPreview" zoomScale="93" zoomScaleNormal="100" zoomScaleSheetLayoutView="93" workbookViewId="0">
      <selection activeCell="W23" sqref="W23:X23"/>
    </sheetView>
  </sheetViews>
  <sheetFormatPr defaultRowHeight="12.75" x14ac:dyDescent="0.2"/>
  <cols>
    <col min="1" max="1" width="33.425781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</cols>
  <sheetData>
    <row r="1" spans="1:24" ht="15.75" x14ac:dyDescent="0.25">
      <c r="A1" s="438" t="s">
        <v>148</v>
      </c>
    </row>
    <row r="2" spans="1:24" ht="15.75" x14ac:dyDescent="0.25">
      <c r="A2" s="438" t="s">
        <v>149</v>
      </c>
    </row>
    <row r="3" spans="1:24" x14ac:dyDescent="0.2">
      <c r="A3" s="439"/>
    </row>
    <row r="4" spans="1:24" ht="15.75" x14ac:dyDescent="0.25">
      <c r="A4" s="440" t="s">
        <v>150</v>
      </c>
    </row>
    <row r="5" spans="1:24" x14ac:dyDescent="0.2">
      <c r="A5" s="439"/>
    </row>
    <row r="6" spans="1:24" x14ac:dyDescent="0.2">
      <c r="A6" s="2" t="s">
        <v>124</v>
      </c>
      <c r="R6" s="47" t="s">
        <v>19</v>
      </c>
    </row>
    <row r="8" spans="1:24" ht="13.5" thickBot="1" x14ac:dyDescent="0.25"/>
    <row r="9" spans="1:24" ht="13.5" thickTop="1" x14ac:dyDescent="0.2">
      <c r="A9" s="3"/>
      <c r="B9" s="943" t="s">
        <v>0</v>
      </c>
      <c r="C9" s="939"/>
      <c r="D9" s="943" t="s">
        <v>1</v>
      </c>
      <c r="E9" s="940"/>
      <c r="F9" s="939" t="s">
        <v>2</v>
      </c>
      <c r="G9" s="940"/>
      <c r="H9" s="939" t="s">
        <v>3</v>
      </c>
      <c r="I9" s="940"/>
      <c r="J9" s="939" t="s">
        <v>4</v>
      </c>
      <c r="K9" s="940"/>
      <c r="L9" s="939" t="s">
        <v>5</v>
      </c>
      <c r="M9" s="940"/>
      <c r="N9" s="939" t="s">
        <v>6</v>
      </c>
      <c r="O9" s="940"/>
      <c r="P9" s="939" t="s">
        <v>7</v>
      </c>
      <c r="Q9" s="940"/>
      <c r="R9" s="939" t="s">
        <v>8</v>
      </c>
      <c r="S9" s="940"/>
      <c r="T9" s="943" t="s">
        <v>186</v>
      </c>
      <c r="U9" s="944"/>
      <c r="W9" s="941" t="s">
        <v>9</v>
      </c>
      <c r="X9" s="942"/>
    </row>
    <row r="10" spans="1:24" x14ac:dyDescent="0.2">
      <c r="A10" s="4"/>
      <c r="B10" s="340" t="s">
        <v>10</v>
      </c>
      <c r="C10" s="341" t="s">
        <v>11</v>
      </c>
      <c r="D10" s="340" t="s">
        <v>10</v>
      </c>
      <c r="E10" s="342" t="s">
        <v>11</v>
      </c>
      <c r="F10" s="343" t="s">
        <v>10</v>
      </c>
      <c r="G10" s="342" t="s">
        <v>11</v>
      </c>
      <c r="H10" s="343" t="s">
        <v>10</v>
      </c>
      <c r="I10" s="342" t="s">
        <v>11</v>
      </c>
      <c r="J10" s="343" t="s">
        <v>10</v>
      </c>
      <c r="K10" s="342" t="s">
        <v>11</v>
      </c>
      <c r="L10" s="343" t="s">
        <v>10</v>
      </c>
      <c r="M10" s="342" t="s">
        <v>11</v>
      </c>
      <c r="N10" s="343" t="s">
        <v>10</v>
      </c>
      <c r="O10" s="342" t="s">
        <v>11</v>
      </c>
      <c r="P10" s="343" t="s">
        <v>10</v>
      </c>
      <c r="Q10" s="342" t="s">
        <v>11</v>
      </c>
      <c r="R10" s="343" t="s">
        <v>10</v>
      </c>
      <c r="S10" s="342" t="s">
        <v>11</v>
      </c>
      <c r="T10" s="340" t="s">
        <v>10</v>
      </c>
      <c r="U10" s="392" t="s">
        <v>11</v>
      </c>
      <c r="W10" s="353" t="s">
        <v>10</v>
      </c>
      <c r="X10" s="354" t="s">
        <v>11</v>
      </c>
    </row>
    <row r="11" spans="1:24" ht="13.5" thickBot="1" x14ac:dyDescent="0.25">
      <c r="A11" s="10" t="s">
        <v>125</v>
      </c>
      <c r="B11" s="344" t="s">
        <v>14</v>
      </c>
      <c r="C11" s="345" t="s">
        <v>15</v>
      </c>
      <c r="D11" s="344" t="s">
        <v>14</v>
      </c>
      <c r="E11" s="346" t="s">
        <v>15</v>
      </c>
      <c r="F11" s="347" t="s">
        <v>14</v>
      </c>
      <c r="G11" s="346" t="s">
        <v>15</v>
      </c>
      <c r="H11" s="347" t="s">
        <v>14</v>
      </c>
      <c r="I11" s="346" t="s">
        <v>15</v>
      </c>
      <c r="J11" s="347" t="s">
        <v>14</v>
      </c>
      <c r="K11" s="346" t="s">
        <v>15</v>
      </c>
      <c r="L11" s="347" t="s">
        <v>14</v>
      </c>
      <c r="M11" s="346" t="s">
        <v>15</v>
      </c>
      <c r="N11" s="347" t="s">
        <v>14</v>
      </c>
      <c r="O11" s="346" t="s">
        <v>15</v>
      </c>
      <c r="P11" s="347" t="s">
        <v>14</v>
      </c>
      <c r="Q11" s="346" t="s">
        <v>15</v>
      </c>
      <c r="R11" s="347" t="s">
        <v>14</v>
      </c>
      <c r="S11" s="346" t="s">
        <v>15</v>
      </c>
      <c r="T11" s="344" t="s">
        <v>14</v>
      </c>
      <c r="U11" s="397" t="s">
        <v>15</v>
      </c>
      <c r="W11" s="355" t="s">
        <v>14</v>
      </c>
      <c r="X11" s="356" t="s">
        <v>15</v>
      </c>
    </row>
    <row r="12" spans="1:24" x14ac:dyDescent="0.2">
      <c r="A12" s="104" t="s">
        <v>126</v>
      </c>
      <c r="B12" s="11"/>
      <c r="C12" s="348"/>
      <c r="D12" s="11"/>
      <c r="E12" s="349"/>
      <c r="F12" s="13"/>
      <c r="G12" s="349"/>
      <c r="H12" s="13"/>
      <c r="I12" s="349"/>
      <c r="J12" s="13"/>
      <c r="K12" s="349"/>
      <c r="L12" s="13"/>
      <c r="M12" s="349"/>
      <c r="N12" s="13"/>
      <c r="O12" s="349"/>
      <c r="P12" s="13"/>
      <c r="Q12" s="349"/>
      <c r="R12" s="13"/>
      <c r="S12" s="349"/>
      <c r="T12" s="11"/>
      <c r="U12" s="358"/>
      <c r="W12" s="357"/>
      <c r="X12" s="21"/>
    </row>
    <row r="13" spans="1:24" x14ac:dyDescent="0.2">
      <c r="A13" s="123" t="s">
        <v>127</v>
      </c>
      <c r="B13" s="11">
        <v>264</v>
      </c>
      <c r="C13" s="348" t="s">
        <v>129</v>
      </c>
      <c r="D13" s="11">
        <f>176+7+18</f>
        <v>201</v>
      </c>
      <c r="E13" s="349" t="s">
        <v>129</v>
      </c>
      <c r="F13" s="13">
        <v>187</v>
      </c>
      <c r="G13" s="349" t="s">
        <v>129</v>
      </c>
      <c r="H13" s="13">
        <v>177</v>
      </c>
      <c r="I13" s="349" t="s">
        <v>130</v>
      </c>
      <c r="J13" s="13">
        <v>180</v>
      </c>
      <c r="K13" s="349" t="s">
        <v>130</v>
      </c>
      <c r="L13" s="13">
        <v>155</v>
      </c>
      <c r="M13" s="349" t="s">
        <v>130</v>
      </c>
      <c r="N13" s="13">
        <v>141</v>
      </c>
      <c r="O13" s="349" t="s">
        <v>130</v>
      </c>
      <c r="P13" s="13">
        <v>168</v>
      </c>
      <c r="Q13" s="349" t="s">
        <v>130</v>
      </c>
      <c r="R13" s="13">
        <v>188</v>
      </c>
      <c r="S13" s="349" t="s">
        <v>130</v>
      </c>
      <c r="T13" s="11">
        <v>166</v>
      </c>
      <c r="U13" s="358" t="s">
        <v>130</v>
      </c>
      <c r="W13" s="357">
        <f>AVERAGE(P13,N13,L13,T13,R13)</f>
        <v>163.6</v>
      </c>
      <c r="X13" s="358" t="s">
        <v>129</v>
      </c>
    </row>
    <row r="14" spans="1:24" ht="13.5" thickBot="1" x14ac:dyDescent="0.25">
      <c r="A14" s="139" t="s">
        <v>128</v>
      </c>
      <c r="B14" s="350"/>
      <c r="C14" s="351"/>
      <c r="D14" s="154">
        <v>10</v>
      </c>
      <c r="E14" s="352" t="s">
        <v>129</v>
      </c>
      <c r="F14" s="152">
        <v>45</v>
      </c>
      <c r="G14" s="352" t="s">
        <v>129</v>
      </c>
      <c r="H14" s="152">
        <v>35</v>
      </c>
      <c r="I14" s="352" t="s">
        <v>130</v>
      </c>
      <c r="J14" s="152">
        <v>24</v>
      </c>
      <c r="K14" s="352" t="s">
        <v>130</v>
      </c>
      <c r="L14" s="152">
        <v>29</v>
      </c>
      <c r="M14" s="352" t="s">
        <v>130</v>
      </c>
      <c r="N14" s="152">
        <v>32</v>
      </c>
      <c r="O14" s="352" t="s">
        <v>130</v>
      </c>
      <c r="P14" s="152">
        <v>15</v>
      </c>
      <c r="Q14" s="352" t="s">
        <v>130</v>
      </c>
      <c r="R14" s="152">
        <v>15</v>
      </c>
      <c r="S14" s="352" t="s">
        <v>130</v>
      </c>
      <c r="T14" s="154">
        <v>13</v>
      </c>
      <c r="U14" s="360" t="s">
        <v>130</v>
      </c>
      <c r="W14" s="359">
        <f>AVERAGE(P14,N14,L14,T14,R14)</f>
        <v>20.8</v>
      </c>
      <c r="X14" s="360" t="s">
        <v>129</v>
      </c>
    </row>
    <row r="15" spans="1:24" ht="13.5" thickTop="1" x14ac:dyDescent="0.2">
      <c r="A15" s="10" t="s">
        <v>21</v>
      </c>
      <c r="B15" s="361"/>
      <c r="C15" s="363"/>
      <c r="D15" s="361"/>
      <c r="E15" s="362"/>
      <c r="F15" s="363"/>
      <c r="G15" s="362"/>
      <c r="H15" s="363"/>
      <c r="I15" s="362"/>
      <c r="J15" s="363"/>
      <c r="K15" s="362"/>
      <c r="L15" s="363"/>
      <c r="M15" s="362"/>
      <c r="N15" s="363"/>
      <c r="O15" s="362"/>
      <c r="P15" s="363"/>
      <c r="Q15" s="362"/>
      <c r="R15" s="363"/>
      <c r="S15" s="362"/>
      <c r="T15" s="361"/>
      <c r="U15" s="398"/>
      <c r="W15" s="446"/>
      <c r="X15" s="447"/>
    </row>
    <row r="16" spans="1:24" x14ac:dyDescent="0.2">
      <c r="A16" s="463" t="s">
        <v>22</v>
      </c>
      <c r="B16" s="32"/>
      <c r="C16" s="35">
        <v>889</v>
      </c>
      <c r="D16" s="32"/>
      <c r="E16" s="34">
        <v>959</v>
      </c>
      <c r="F16" s="33"/>
      <c r="G16" s="34">
        <v>865</v>
      </c>
      <c r="H16" s="33"/>
      <c r="I16" s="34">
        <v>753</v>
      </c>
      <c r="J16" s="33"/>
      <c r="K16" s="34">
        <v>796</v>
      </c>
      <c r="L16" s="33"/>
      <c r="M16" s="34">
        <v>692</v>
      </c>
      <c r="N16" s="33"/>
      <c r="O16" s="34">
        <v>695</v>
      </c>
      <c r="P16" s="33"/>
      <c r="Q16" s="34">
        <v>197</v>
      </c>
      <c r="R16" s="33"/>
      <c r="S16" s="34">
        <v>259</v>
      </c>
      <c r="T16" s="32"/>
      <c r="U16" s="822"/>
      <c r="W16" s="38"/>
      <c r="X16" s="448">
        <f>AVERAGE(Q16,O16,M16,K16,S16)</f>
        <v>527.79999999999995</v>
      </c>
    </row>
    <row r="17" spans="1:26" x14ac:dyDescent="0.2">
      <c r="A17" s="463" t="s">
        <v>23</v>
      </c>
      <c r="B17" s="32"/>
      <c r="C17" s="35">
        <v>559</v>
      </c>
      <c r="D17" s="32"/>
      <c r="E17" s="34">
        <v>405</v>
      </c>
      <c r="F17" s="33"/>
      <c r="G17" s="34">
        <v>388</v>
      </c>
      <c r="H17" s="33"/>
      <c r="I17" s="34">
        <v>314</v>
      </c>
      <c r="J17" s="33"/>
      <c r="K17" s="34">
        <v>286</v>
      </c>
      <c r="L17" s="33"/>
      <c r="M17" s="34">
        <v>682</v>
      </c>
      <c r="N17" s="33"/>
      <c r="O17" s="34">
        <v>52</v>
      </c>
      <c r="P17" s="33"/>
      <c r="Q17" s="34">
        <v>42</v>
      </c>
      <c r="R17" s="33"/>
      <c r="S17" s="34">
        <v>22</v>
      </c>
      <c r="T17" s="32"/>
      <c r="U17" s="822"/>
      <c r="W17" s="38"/>
      <c r="X17" s="448">
        <f>AVERAGE(Q17,O17,M17,K17,S17)</f>
        <v>216.8</v>
      </c>
    </row>
    <row r="18" spans="1:26" x14ac:dyDescent="0.2">
      <c r="A18" s="463" t="s">
        <v>24</v>
      </c>
      <c r="B18" s="32"/>
      <c r="C18" s="35"/>
      <c r="D18" s="32"/>
      <c r="E18" s="34"/>
      <c r="F18" s="33"/>
      <c r="G18" s="34"/>
      <c r="H18" s="33"/>
      <c r="I18" s="34"/>
      <c r="J18" s="33"/>
      <c r="K18" s="34"/>
      <c r="L18" s="33"/>
      <c r="M18" s="34"/>
      <c r="N18" s="33"/>
      <c r="O18" s="34"/>
      <c r="P18" s="33"/>
      <c r="Q18" s="34"/>
      <c r="R18" s="33"/>
      <c r="S18" s="34"/>
      <c r="T18" s="32"/>
      <c r="U18" s="822"/>
      <c r="W18" s="38"/>
      <c r="X18" s="448"/>
    </row>
    <row r="19" spans="1:26" x14ac:dyDescent="0.2">
      <c r="A19" s="463" t="s">
        <v>25</v>
      </c>
      <c r="B19" s="32"/>
      <c r="C19" s="40"/>
      <c r="D19" s="32"/>
      <c r="E19" s="39"/>
      <c r="F19" s="33"/>
      <c r="G19" s="39"/>
      <c r="H19" s="33"/>
      <c r="I19" s="39"/>
      <c r="J19" s="33"/>
      <c r="K19" s="39"/>
      <c r="L19" s="33"/>
      <c r="M19" s="39"/>
      <c r="N19" s="33"/>
      <c r="O19" s="39"/>
      <c r="P19" s="33"/>
      <c r="Q19" s="39"/>
      <c r="R19" s="33"/>
      <c r="S19" s="39"/>
      <c r="T19" s="32"/>
      <c r="U19" s="823"/>
      <c r="W19" s="38"/>
      <c r="X19" s="448"/>
    </row>
    <row r="20" spans="1:26" ht="13.5" thickBot="1" x14ac:dyDescent="0.25">
      <c r="A20" s="41" t="s">
        <v>26</v>
      </c>
      <c r="B20" s="364"/>
      <c r="C20" s="366">
        <f>SUM(C16:C19)</f>
        <v>1448</v>
      </c>
      <c r="D20" s="364"/>
      <c r="E20" s="365">
        <v>1364</v>
      </c>
      <c r="F20" s="367"/>
      <c r="G20" s="365">
        <f>SUM(G16:G19)</f>
        <v>1253</v>
      </c>
      <c r="H20" s="367"/>
      <c r="I20" s="365">
        <f>SUM(I16:I19)</f>
        <v>1067</v>
      </c>
      <c r="J20" s="367"/>
      <c r="K20" s="365">
        <f>SUM(K16:K19)</f>
        <v>1082</v>
      </c>
      <c r="L20" s="367"/>
      <c r="M20" s="365">
        <f>SUM(M16:M19)</f>
        <v>1374</v>
      </c>
      <c r="N20" s="367"/>
      <c r="O20" s="365">
        <f>SUM(O16:O19)</f>
        <v>747</v>
      </c>
      <c r="P20" s="367"/>
      <c r="Q20" s="365">
        <f>SUM(Q16:Q19)</f>
        <v>239</v>
      </c>
      <c r="R20" s="367"/>
      <c r="S20" s="365">
        <f>SUM(S16:S19)</f>
        <v>281</v>
      </c>
      <c r="T20" s="364"/>
      <c r="U20" s="824">
        <f>SUM(U16:U19)</f>
        <v>0</v>
      </c>
      <c r="W20" s="449"/>
      <c r="X20" s="380">
        <f>AVERAGE(Q20,O20,M20,K20,S20)</f>
        <v>744.6</v>
      </c>
      <c r="Z20" s="47" t="s">
        <v>19</v>
      </c>
    </row>
    <row r="21" spans="1:26" ht="14.25" thickTop="1" thickBot="1" x14ac:dyDescent="0.25">
      <c r="A21" s="43"/>
      <c r="B21" s="59"/>
      <c r="C21" s="450"/>
      <c r="D21" s="59"/>
      <c r="E21" s="450"/>
      <c r="F21" s="59"/>
      <c r="G21" s="450"/>
      <c r="H21" s="59"/>
      <c r="I21" s="450"/>
      <c r="J21" s="59"/>
      <c r="K21" s="450"/>
      <c r="L21" s="59"/>
      <c r="M21" s="450"/>
      <c r="N21" s="59"/>
      <c r="O21" s="450"/>
      <c r="P21" s="59"/>
      <c r="Q21" s="450"/>
      <c r="R21" s="59"/>
      <c r="S21" s="450"/>
      <c r="T21" s="59"/>
      <c r="U21" s="450"/>
      <c r="V21" s="66"/>
      <c r="W21" s="444"/>
      <c r="X21" s="452"/>
      <c r="Z21" s="47"/>
    </row>
    <row r="22" spans="1:26" ht="14.25" thickTop="1" thickBot="1" x14ac:dyDescent="0.25">
      <c r="A22" s="451" t="s">
        <v>27</v>
      </c>
      <c r="B22" s="950" t="s">
        <v>28</v>
      </c>
      <c r="C22" s="951"/>
      <c r="D22" s="952" t="s">
        <v>29</v>
      </c>
      <c r="E22" s="953"/>
      <c r="F22" s="954" t="s">
        <v>30</v>
      </c>
      <c r="G22" s="953"/>
      <c r="H22" s="954" t="s">
        <v>31</v>
      </c>
      <c r="I22" s="953"/>
      <c r="J22" s="954" t="s">
        <v>32</v>
      </c>
      <c r="K22" s="953"/>
      <c r="L22" s="954" t="s">
        <v>33</v>
      </c>
      <c r="M22" s="953"/>
      <c r="N22" s="954" t="s">
        <v>34</v>
      </c>
      <c r="O22" s="953"/>
      <c r="P22" s="954" t="s">
        <v>35</v>
      </c>
      <c r="Q22" s="953"/>
      <c r="R22" s="954" t="s">
        <v>36</v>
      </c>
      <c r="S22" s="953"/>
      <c r="T22" s="955" t="s">
        <v>187</v>
      </c>
      <c r="U22" s="963"/>
      <c r="W22" s="957" t="s">
        <v>9</v>
      </c>
      <c r="X22" s="958"/>
    </row>
    <row r="23" spans="1:26" x14ac:dyDescent="0.2">
      <c r="A23" s="436" t="s">
        <v>143</v>
      </c>
      <c r="B23" s="370"/>
      <c r="C23" s="371">
        <v>0</v>
      </c>
      <c r="D23" s="368"/>
      <c r="E23" s="369">
        <v>0.129</v>
      </c>
      <c r="F23" s="372"/>
      <c r="G23" s="369">
        <v>0.11799999999999999</v>
      </c>
      <c r="H23" s="373"/>
      <c r="I23" s="369">
        <v>0.13800000000000001</v>
      </c>
      <c r="J23" s="373"/>
      <c r="K23" s="369">
        <v>0.106</v>
      </c>
      <c r="L23" s="373"/>
      <c r="M23" s="369">
        <v>0.10199999999999999</v>
      </c>
      <c r="N23" s="373"/>
      <c r="O23" s="369">
        <v>0.104</v>
      </c>
      <c r="P23" s="373"/>
      <c r="Q23" s="369">
        <v>0.53400000000000003</v>
      </c>
      <c r="R23" s="373"/>
      <c r="S23" s="369">
        <v>0.78800000000000003</v>
      </c>
      <c r="T23" s="399"/>
      <c r="U23" s="400">
        <v>0.8</v>
      </c>
      <c r="W23" s="270"/>
      <c r="X23" s="381">
        <f>AVERAGE(Q23,O23,M23,U23,S23)</f>
        <v>0.46560000000000007</v>
      </c>
    </row>
    <row r="24" spans="1:26" x14ac:dyDescent="0.2">
      <c r="A24" s="437" t="s">
        <v>144</v>
      </c>
      <c r="B24" s="376"/>
      <c r="C24" s="377">
        <v>0</v>
      </c>
      <c r="D24" s="376"/>
      <c r="E24" s="375">
        <v>0</v>
      </c>
      <c r="F24" s="374"/>
      <c r="G24" s="375">
        <v>0</v>
      </c>
      <c r="H24" s="378"/>
      <c r="I24" s="375">
        <v>0</v>
      </c>
      <c r="J24" s="378"/>
      <c r="K24" s="375">
        <v>0</v>
      </c>
      <c r="L24" s="378"/>
      <c r="M24" s="375">
        <v>0</v>
      </c>
      <c r="N24" s="378"/>
      <c r="O24" s="375">
        <v>0</v>
      </c>
      <c r="P24" s="378"/>
      <c r="Q24" s="375">
        <v>0</v>
      </c>
      <c r="R24" s="378"/>
      <c r="S24" s="375">
        <v>0</v>
      </c>
      <c r="T24" s="395"/>
      <c r="U24" s="396">
        <v>0</v>
      </c>
      <c r="W24" s="270"/>
      <c r="X24" s="381">
        <f t="shared" ref="X24:X25" si="0">AVERAGE(Q24,O24,M24,U24,S24)</f>
        <v>0</v>
      </c>
    </row>
    <row r="25" spans="1:26" ht="13.5" thickBot="1" x14ac:dyDescent="0.25">
      <c r="A25" s="379" t="s">
        <v>145</v>
      </c>
      <c r="B25" s="945">
        <v>1</v>
      </c>
      <c r="C25" s="946"/>
      <c r="D25" s="945">
        <f>1-E23-E24%</f>
        <v>0.871</v>
      </c>
      <c r="E25" s="946"/>
      <c r="F25" s="947">
        <f>1-G23-G24%</f>
        <v>0.88200000000000001</v>
      </c>
      <c r="G25" s="946"/>
      <c r="H25" s="948">
        <f>1-I23-I24</f>
        <v>0.86199999999999999</v>
      </c>
      <c r="I25" s="949"/>
      <c r="J25" s="948">
        <f>1-K23-K24</f>
        <v>0.89400000000000002</v>
      </c>
      <c r="K25" s="949"/>
      <c r="L25" s="948">
        <f>1-M23-M24</f>
        <v>0.89800000000000002</v>
      </c>
      <c r="M25" s="949"/>
      <c r="N25" s="948">
        <f>1-O23-O24</f>
        <v>0.89600000000000002</v>
      </c>
      <c r="O25" s="949"/>
      <c r="P25" s="948">
        <f>1-Q23-Q24</f>
        <v>0.46599999999999997</v>
      </c>
      <c r="Q25" s="949"/>
      <c r="R25" s="948">
        <f>1-S23-S24</f>
        <v>0.21199999999999997</v>
      </c>
      <c r="S25" s="949"/>
      <c r="T25" s="964">
        <f>1-U23-U24</f>
        <v>0.19999999999999996</v>
      </c>
      <c r="U25" s="965"/>
      <c r="W25" s="959">
        <f t="shared" ref="W25" si="1">AVERAGE(P25,N25,L25,T25,R25)</f>
        <v>0.53439999999999999</v>
      </c>
      <c r="X25" s="960" t="e">
        <f t="shared" si="0"/>
        <v>#DIV/0!</v>
      </c>
    </row>
    <row r="26" spans="1:26" ht="14.25" thickTop="1" thickBot="1" x14ac:dyDescent="0.25"/>
    <row r="27" spans="1:26" ht="14.25" thickTop="1" thickBot="1" x14ac:dyDescent="0.25">
      <c r="A27" s="63" t="s">
        <v>161</v>
      </c>
      <c r="B27" s="955" t="s">
        <v>28</v>
      </c>
      <c r="C27" s="966"/>
      <c r="D27" s="955" t="s">
        <v>29</v>
      </c>
      <c r="E27" s="956"/>
      <c r="F27" s="955" t="s">
        <v>30</v>
      </c>
      <c r="G27" s="956"/>
      <c r="H27" s="955" t="s">
        <v>31</v>
      </c>
      <c r="I27" s="956"/>
      <c r="J27" s="955" t="s">
        <v>32</v>
      </c>
      <c r="K27" s="956"/>
      <c r="L27" s="955" t="s">
        <v>33</v>
      </c>
      <c r="M27" s="956"/>
      <c r="N27" s="955" t="s">
        <v>34</v>
      </c>
      <c r="O27" s="956"/>
      <c r="P27" s="955" t="s">
        <v>35</v>
      </c>
      <c r="Q27" s="956"/>
      <c r="R27" s="955" t="s">
        <v>36</v>
      </c>
      <c r="S27" s="956"/>
      <c r="T27" s="955" t="s">
        <v>187</v>
      </c>
      <c r="U27" s="963"/>
      <c r="W27" s="961" t="s">
        <v>9</v>
      </c>
      <c r="X27" s="962"/>
    </row>
    <row r="28" spans="1:26" x14ac:dyDescent="0.2">
      <c r="A28" s="461" t="s">
        <v>159</v>
      </c>
      <c r="B28" s="788" t="s">
        <v>38</v>
      </c>
      <c r="C28" s="291" t="s">
        <v>39</v>
      </c>
      <c r="D28" s="453" t="s">
        <v>38</v>
      </c>
      <c r="E28" s="454" t="s">
        <v>39</v>
      </c>
      <c r="F28" s="453" t="s">
        <v>38</v>
      </c>
      <c r="G28" s="454" t="s">
        <v>39</v>
      </c>
      <c r="H28" s="453" t="s">
        <v>38</v>
      </c>
      <c r="I28" s="454" t="s">
        <v>39</v>
      </c>
      <c r="J28" s="453" t="s">
        <v>38</v>
      </c>
      <c r="K28" s="454" t="s">
        <v>39</v>
      </c>
      <c r="L28" s="453" t="s">
        <v>38</v>
      </c>
      <c r="M28" s="454" t="s">
        <v>39</v>
      </c>
      <c r="N28" s="453" t="s">
        <v>38</v>
      </c>
      <c r="O28" s="454" t="s">
        <v>39</v>
      </c>
      <c r="P28" s="453" t="s">
        <v>38</v>
      </c>
      <c r="Q28" s="454" t="s">
        <v>39</v>
      </c>
      <c r="R28" s="453" t="s">
        <v>38</v>
      </c>
      <c r="S28" s="454" t="s">
        <v>39</v>
      </c>
      <c r="T28" s="457" t="s">
        <v>38</v>
      </c>
      <c r="U28" s="334" t="s">
        <v>39</v>
      </c>
      <c r="W28" s="333" t="s">
        <v>38</v>
      </c>
      <c r="X28" s="460" t="s">
        <v>39</v>
      </c>
    </row>
    <row r="29" spans="1:26" x14ac:dyDescent="0.2">
      <c r="A29" s="466" t="s">
        <v>40</v>
      </c>
      <c r="B29" s="11"/>
      <c r="C29" s="35"/>
      <c r="D29" s="11"/>
      <c r="E29" s="147"/>
      <c r="F29" s="11"/>
      <c r="G29" s="147"/>
      <c r="H29" s="11"/>
      <c r="I29" s="147"/>
      <c r="J29" s="11"/>
      <c r="K29" s="147"/>
      <c r="L29" s="11"/>
      <c r="M29" s="147"/>
      <c r="N29" s="11"/>
      <c r="O29" s="147"/>
      <c r="P29" s="11"/>
      <c r="Q29" s="147"/>
      <c r="R29" s="11"/>
      <c r="S29" s="147"/>
      <c r="T29" s="456"/>
      <c r="U29" s="458"/>
      <c r="W29" s="566"/>
      <c r="X29" s="806"/>
    </row>
    <row r="30" spans="1:26" x14ac:dyDescent="0.2">
      <c r="A30" s="464" t="s">
        <v>41</v>
      </c>
      <c r="B30" s="128"/>
      <c r="C30" s="35">
        <v>1</v>
      </c>
      <c r="D30" s="128"/>
      <c r="E30" s="147">
        <f>1+1</f>
        <v>2</v>
      </c>
      <c r="F30" s="128"/>
      <c r="G30" s="147">
        <v>1</v>
      </c>
      <c r="H30" s="128"/>
      <c r="I30" s="147">
        <v>0</v>
      </c>
      <c r="J30" s="456">
        <v>0</v>
      </c>
      <c r="K30" s="147">
        <v>0</v>
      </c>
      <c r="L30" s="456">
        <v>0</v>
      </c>
      <c r="M30" s="147">
        <v>0</v>
      </c>
      <c r="N30" s="456">
        <v>0</v>
      </c>
      <c r="O30" s="147">
        <v>0</v>
      </c>
      <c r="P30" s="456">
        <v>0</v>
      </c>
      <c r="Q30" s="147">
        <v>0</v>
      </c>
      <c r="R30" s="456">
        <v>1</v>
      </c>
      <c r="S30" s="147">
        <v>1</v>
      </c>
      <c r="T30" s="456"/>
      <c r="U30" s="458"/>
      <c r="W30" s="807">
        <f>AVERAGE(N30,L30,R30,T30,P30)</f>
        <v>0.25</v>
      </c>
      <c r="X30" s="808">
        <f>AVERAGE(O30,M30,S30,U30,Q30)</f>
        <v>0.25</v>
      </c>
    </row>
    <row r="31" spans="1:26" x14ac:dyDescent="0.2">
      <c r="A31" s="464" t="s">
        <v>42</v>
      </c>
      <c r="B31" s="128"/>
      <c r="C31" s="35">
        <v>1</v>
      </c>
      <c r="D31" s="128"/>
      <c r="E31" s="147">
        <v>1</v>
      </c>
      <c r="F31" s="128"/>
      <c r="G31" s="147">
        <v>1</v>
      </c>
      <c r="H31" s="128"/>
      <c r="I31" s="147">
        <v>0</v>
      </c>
      <c r="J31" s="456">
        <v>0</v>
      </c>
      <c r="K31" s="147">
        <v>0</v>
      </c>
      <c r="L31" s="456">
        <v>0</v>
      </c>
      <c r="M31" s="147">
        <v>0</v>
      </c>
      <c r="N31" s="456">
        <v>0</v>
      </c>
      <c r="O31" s="147">
        <v>0</v>
      </c>
      <c r="P31" s="456">
        <v>0</v>
      </c>
      <c r="Q31" s="147">
        <v>0</v>
      </c>
      <c r="R31" s="456">
        <v>0</v>
      </c>
      <c r="S31" s="147">
        <v>0</v>
      </c>
      <c r="T31" s="456"/>
      <c r="U31" s="458"/>
      <c r="W31" s="807">
        <f>AVERAGE(N31,L31,R31,T31,P31)</f>
        <v>0</v>
      </c>
      <c r="X31" s="808">
        <f>AVERAGE(O31,M31,S31,U31,Q31)</f>
        <v>0</v>
      </c>
    </row>
    <row r="32" spans="1:26" x14ac:dyDescent="0.2">
      <c r="A32" s="466" t="s">
        <v>162</v>
      </c>
      <c r="B32" s="11"/>
      <c r="C32" s="40"/>
      <c r="D32" s="11"/>
      <c r="E32" s="455"/>
      <c r="F32" s="11"/>
      <c r="G32" s="455"/>
      <c r="H32" s="456"/>
      <c r="I32" s="455"/>
      <c r="J32" s="456"/>
      <c r="K32" s="455"/>
      <c r="L32" s="456"/>
      <c r="M32" s="455"/>
      <c r="N32" s="456"/>
      <c r="O32" s="455"/>
      <c r="P32" s="456"/>
      <c r="Q32" s="455"/>
      <c r="R32" s="456"/>
      <c r="S32" s="455"/>
      <c r="T32" s="456"/>
      <c r="U32" s="459"/>
      <c r="W32" s="807"/>
      <c r="X32" s="808"/>
    </row>
    <row r="33" spans="1:24" x14ac:dyDescent="0.2">
      <c r="A33" s="464" t="s">
        <v>41</v>
      </c>
      <c r="B33" s="128"/>
      <c r="C33" s="40">
        <v>0</v>
      </c>
      <c r="D33" s="128"/>
      <c r="E33" s="455">
        <v>6</v>
      </c>
      <c r="F33" s="128"/>
      <c r="G33" s="455">
        <v>8</v>
      </c>
      <c r="H33" s="128"/>
      <c r="I33" s="455">
        <v>6</v>
      </c>
      <c r="J33" s="456">
        <v>4</v>
      </c>
      <c r="K33" s="455">
        <v>4</v>
      </c>
      <c r="L33" s="456">
        <v>6</v>
      </c>
      <c r="M33" s="455">
        <v>6</v>
      </c>
      <c r="N33" s="456">
        <v>5</v>
      </c>
      <c r="O33" s="455">
        <v>5</v>
      </c>
      <c r="P33" s="456">
        <v>0</v>
      </c>
      <c r="Q33" s="455">
        <v>0</v>
      </c>
      <c r="R33" s="456">
        <v>0</v>
      </c>
      <c r="S33" s="455">
        <v>0</v>
      </c>
      <c r="T33" s="456"/>
      <c r="U33" s="459"/>
      <c r="W33" s="807">
        <f t="shared" ref="W33:X34" si="2">AVERAGE(N33,L33,R33,T33,P33)</f>
        <v>2.75</v>
      </c>
      <c r="X33" s="808">
        <f t="shared" si="2"/>
        <v>2.75</v>
      </c>
    </row>
    <row r="34" spans="1:24" ht="13.5" thickBot="1" x14ac:dyDescent="0.25">
      <c r="A34" s="465" t="s">
        <v>42</v>
      </c>
      <c r="B34" s="469"/>
      <c r="C34" s="468">
        <v>0</v>
      </c>
      <c r="D34" s="469"/>
      <c r="E34" s="470">
        <v>0</v>
      </c>
      <c r="F34" s="469"/>
      <c r="G34" s="470">
        <v>1</v>
      </c>
      <c r="H34" s="469"/>
      <c r="I34" s="470">
        <v>0</v>
      </c>
      <c r="J34" s="471">
        <v>0</v>
      </c>
      <c r="K34" s="470">
        <v>0</v>
      </c>
      <c r="L34" s="471">
        <v>0</v>
      </c>
      <c r="M34" s="470">
        <v>0</v>
      </c>
      <c r="N34" s="471">
        <v>0</v>
      </c>
      <c r="O34" s="470">
        <v>0</v>
      </c>
      <c r="P34" s="471">
        <v>0</v>
      </c>
      <c r="Q34" s="470">
        <v>0</v>
      </c>
      <c r="R34" s="471">
        <v>0</v>
      </c>
      <c r="S34" s="470">
        <v>0</v>
      </c>
      <c r="T34" s="471"/>
      <c r="U34" s="472"/>
      <c r="W34" s="807">
        <f t="shared" si="2"/>
        <v>0</v>
      </c>
      <c r="X34" s="808">
        <f t="shared" si="2"/>
        <v>0</v>
      </c>
    </row>
    <row r="35" spans="1:24" ht="13.5" thickBot="1" x14ac:dyDescent="0.25">
      <c r="A35" s="473" t="s">
        <v>26</v>
      </c>
      <c r="B35" s="475"/>
      <c r="C35" s="474">
        <f>SUM(C30:C34)</f>
        <v>2</v>
      </c>
      <c r="D35" s="475"/>
      <c r="E35" s="476">
        <f>SUM(E30:E34)</f>
        <v>9</v>
      </c>
      <c r="F35" s="475"/>
      <c r="G35" s="476">
        <f t="shared" ref="G35:S35" si="3">SUM(G30:G34)</f>
        <v>11</v>
      </c>
      <c r="H35" s="477"/>
      <c r="I35" s="478">
        <f t="shared" si="3"/>
        <v>6</v>
      </c>
      <c r="J35" s="477">
        <f t="shared" si="3"/>
        <v>4</v>
      </c>
      <c r="K35" s="478">
        <f t="shared" si="3"/>
        <v>4</v>
      </c>
      <c r="L35" s="477">
        <f t="shared" si="3"/>
        <v>6</v>
      </c>
      <c r="M35" s="478">
        <f t="shared" si="3"/>
        <v>6</v>
      </c>
      <c r="N35" s="477">
        <f t="shared" si="3"/>
        <v>5</v>
      </c>
      <c r="O35" s="478">
        <f t="shared" si="3"/>
        <v>5</v>
      </c>
      <c r="P35" s="477">
        <f t="shared" si="3"/>
        <v>0</v>
      </c>
      <c r="Q35" s="478">
        <f t="shared" si="3"/>
        <v>0</v>
      </c>
      <c r="R35" s="477">
        <f t="shared" si="3"/>
        <v>1</v>
      </c>
      <c r="S35" s="478">
        <f t="shared" si="3"/>
        <v>1</v>
      </c>
      <c r="T35" s="477">
        <f t="shared" ref="T35:U35" si="4">SUM(T30:T34)</f>
        <v>0</v>
      </c>
      <c r="U35" s="479">
        <f t="shared" si="4"/>
        <v>0</v>
      </c>
      <c r="W35" s="809">
        <f>AVERAGE(N35,L35,R35,T35,P35)</f>
        <v>2.4</v>
      </c>
      <c r="X35" s="810">
        <f>AVERAGE(O35,M35,S35,U35,Q35)</f>
        <v>2.4</v>
      </c>
    </row>
    <row r="36" spans="1:24" ht="13.5" thickBot="1" x14ac:dyDescent="0.25">
      <c r="A36" s="488" t="s">
        <v>163</v>
      </c>
      <c r="B36" s="484" t="s">
        <v>37</v>
      </c>
      <c r="C36" s="485" t="s">
        <v>44</v>
      </c>
      <c r="D36" s="484" t="s">
        <v>37</v>
      </c>
      <c r="E36" s="486" t="s">
        <v>44</v>
      </c>
      <c r="F36" s="484" t="s">
        <v>37</v>
      </c>
      <c r="G36" s="486" t="s">
        <v>44</v>
      </c>
      <c r="H36" s="484" t="s">
        <v>37</v>
      </c>
      <c r="I36" s="486" t="s">
        <v>44</v>
      </c>
      <c r="J36" s="484" t="s">
        <v>37</v>
      </c>
      <c r="K36" s="486" t="s">
        <v>44</v>
      </c>
      <c r="L36" s="484" t="s">
        <v>37</v>
      </c>
      <c r="M36" s="486" t="s">
        <v>44</v>
      </c>
      <c r="N36" s="484" t="s">
        <v>37</v>
      </c>
      <c r="O36" s="486" t="s">
        <v>44</v>
      </c>
      <c r="P36" s="484" t="s">
        <v>37</v>
      </c>
      <c r="Q36" s="486" t="s">
        <v>44</v>
      </c>
      <c r="R36" s="484" t="s">
        <v>37</v>
      </c>
      <c r="S36" s="486" t="s">
        <v>44</v>
      </c>
      <c r="T36" s="484" t="s">
        <v>37</v>
      </c>
      <c r="U36" s="487" t="s">
        <v>44</v>
      </c>
      <c r="W36" s="482" t="s">
        <v>37</v>
      </c>
      <c r="X36" s="543" t="s">
        <v>44</v>
      </c>
    </row>
    <row r="37" spans="1:24" x14ac:dyDescent="0.2">
      <c r="A37" s="489" t="s">
        <v>164</v>
      </c>
      <c r="B37" s="481"/>
      <c r="C37" s="389"/>
      <c r="D37" s="481"/>
      <c r="E37" s="389"/>
      <c r="F37" s="481"/>
      <c r="G37" s="389"/>
      <c r="H37" s="481"/>
      <c r="I37" s="389"/>
      <c r="J37" s="481"/>
      <c r="K37" s="389"/>
      <c r="L37" s="481"/>
      <c r="M37" s="389"/>
      <c r="N37" s="481"/>
      <c r="O37" s="389"/>
      <c r="P37" s="481"/>
      <c r="Q37" s="389"/>
      <c r="R37" s="481"/>
      <c r="S37" s="389"/>
      <c r="T37" s="481"/>
      <c r="U37" s="401"/>
      <c r="W37" s="480"/>
      <c r="X37" s="602"/>
    </row>
    <row r="38" spans="1:24" x14ac:dyDescent="0.2">
      <c r="A38" s="46" t="s">
        <v>45</v>
      </c>
      <c r="B38" s="384">
        <v>2</v>
      </c>
      <c r="C38" s="390">
        <f>B38/C$35</f>
        <v>1</v>
      </c>
      <c r="D38" s="384">
        <f>2+1+5</f>
        <v>8</v>
      </c>
      <c r="E38" s="390">
        <f>D38/E$35</f>
        <v>0.88888888888888884</v>
      </c>
      <c r="F38" s="384">
        <v>10</v>
      </c>
      <c r="G38" s="390">
        <f>F38/G$35</f>
        <v>0.90909090909090906</v>
      </c>
      <c r="H38" s="384">
        <v>5</v>
      </c>
      <c r="I38" s="390">
        <f>H38/I$35</f>
        <v>0.83333333333333337</v>
      </c>
      <c r="J38" s="384">
        <v>3</v>
      </c>
      <c r="K38" s="390">
        <f>J38/K$35</f>
        <v>0.75</v>
      </c>
      <c r="L38" s="384">
        <v>5</v>
      </c>
      <c r="M38" s="390">
        <f>L38/M$35</f>
        <v>0.83333333333333337</v>
      </c>
      <c r="N38" s="384">
        <v>4</v>
      </c>
      <c r="O38" s="390">
        <f>N38/O$35</f>
        <v>0.8</v>
      </c>
      <c r="P38" s="384">
        <v>0</v>
      </c>
      <c r="Q38" s="390">
        <v>0</v>
      </c>
      <c r="R38" s="384">
        <v>1</v>
      </c>
      <c r="S38" s="390">
        <f>R38/S$35</f>
        <v>1</v>
      </c>
      <c r="T38" s="384"/>
      <c r="U38" s="393" t="e">
        <f>T38/U$35</f>
        <v>#DIV/0!</v>
      </c>
      <c r="W38" s="807">
        <f t="shared" ref="W38:W57" si="5">AVERAGE(N38,L38,R38,T38,P38)</f>
        <v>2.5</v>
      </c>
      <c r="X38" s="193" t="e">
        <f>AVERAGE(O38,M38,U38,S38,Q38)</f>
        <v>#DIV/0!</v>
      </c>
    </row>
    <row r="39" spans="1:24" x14ac:dyDescent="0.2">
      <c r="A39" s="382" t="s">
        <v>46</v>
      </c>
      <c r="B39" s="384">
        <v>0</v>
      </c>
      <c r="C39" s="390">
        <f t="shared" ref="C39:E57" si="6">B39/C$35</f>
        <v>0</v>
      </c>
      <c r="D39" s="384">
        <v>0</v>
      </c>
      <c r="E39" s="390">
        <f t="shared" si="6"/>
        <v>0</v>
      </c>
      <c r="F39" s="384">
        <v>0</v>
      </c>
      <c r="G39" s="390">
        <f t="shared" ref="G39" si="7">F39/G$35</f>
        <v>0</v>
      </c>
      <c r="H39" s="384">
        <v>0</v>
      </c>
      <c r="I39" s="390">
        <f t="shared" ref="I39" si="8">H39/I$35</f>
        <v>0</v>
      </c>
      <c r="J39" s="384">
        <v>0</v>
      </c>
      <c r="K39" s="390">
        <f t="shared" ref="K39" si="9">J39/K$35</f>
        <v>0</v>
      </c>
      <c r="L39" s="384">
        <v>0</v>
      </c>
      <c r="M39" s="390">
        <f t="shared" ref="M39" si="10">L39/M$35</f>
        <v>0</v>
      </c>
      <c r="N39" s="384">
        <v>0</v>
      </c>
      <c r="O39" s="390">
        <f t="shared" ref="O39" si="11">N39/O$35</f>
        <v>0</v>
      </c>
      <c r="P39" s="384">
        <v>0</v>
      </c>
      <c r="Q39" s="390">
        <v>0</v>
      </c>
      <c r="R39" s="384"/>
      <c r="S39" s="390">
        <f t="shared" ref="S39" si="12">R39/S$35</f>
        <v>0</v>
      </c>
      <c r="T39" s="384"/>
      <c r="U39" s="393" t="e">
        <f t="shared" ref="U39:U45" si="13">T39/U$35</f>
        <v>#DIV/0!</v>
      </c>
      <c r="W39" s="807">
        <f t="shared" si="5"/>
        <v>0</v>
      </c>
      <c r="X39" s="193" t="e">
        <f t="shared" ref="X39:X57" si="14">AVERAGE(O39,M39,U39,S39,Q39)</f>
        <v>#DIV/0!</v>
      </c>
    </row>
    <row r="40" spans="1:24" x14ac:dyDescent="0.2">
      <c r="A40" s="382" t="s">
        <v>47</v>
      </c>
      <c r="B40" s="384">
        <v>0</v>
      </c>
      <c r="C40" s="390">
        <f t="shared" si="6"/>
        <v>0</v>
      </c>
      <c r="D40" s="384">
        <v>0</v>
      </c>
      <c r="E40" s="390">
        <f t="shared" si="6"/>
        <v>0</v>
      </c>
      <c r="F40" s="384">
        <v>0</v>
      </c>
      <c r="G40" s="390">
        <f t="shared" ref="G40" si="15">F40/G$35</f>
        <v>0</v>
      </c>
      <c r="H40" s="384">
        <v>0</v>
      </c>
      <c r="I40" s="390">
        <f t="shared" ref="I40" si="16">H40/I$35</f>
        <v>0</v>
      </c>
      <c r="J40" s="384">
        <v>0</v>
      </c>
      <c r="K40" s="390">
        <f t="shared" ref="K40" si="17">J40/K$35</f>
        <v>0</v>
      </c>
      <c r="L40" s="384">
        <v>0</v>
      </c>
      <c r="M40" s="390">
        <f t="shared" ref="M40" si="18">L40/M$35</f>
        <v>0</v>
      </c>
      <c r="N40" s="384">
        <v>0</v>
      </c>
      <c r="O40" s="390">
        <f t="shared" ref="O40" si="19">N40/O$35</f>
        <v>0</v>
      </c>
      <c r="P40" s="384">
        <v>0</v>
      </c>
      <c r="Q40" s="390">
        <v>0</v>
      </c>
      <c r="R40" s="384"/>
      <c r="S40" s="390">
        <f t="shared" ref="S40" si="20">R40/S$35</f>
        <v>0</v>
      </c>
      <c r="T40" s="384"/>
      <c r="U40" s="393" t="e">
        <f t="shared" si="13"/>
        <v>#DIV/0!</v>
      </c>
      <c r="W40" s="807">
        <f t="shared" si="5"/>
        <v>0</v>
      </c>
      <c r="X40" s="193" t="e">
        <f t="shared" si="14"/>
        <v>#DIV/0!</v>
      </c>
    </row>
    <row r="41" spans="1:24" x14ac:dyDescent="0.2">
      <c r="A41" s="382" t="s">
        <v>48</v>
      </c>
      <c r="B41" s="384">
        <v>0</v>
      </c>
      <c r="C41" s="390">
        <f t="shared" si="6"/>
        <v>0</v>
      </c>
      <c r="D41" s="384">
        <v>0</v>
      </c>
      <c r="E41" s="390">
        <f t="shared" si="6"/>
        <v>0</v>
      </c>
      <c r="F41" s="384">
        <v>0</v>
      </c>
      <c r="G41" s="390">
        <f t="shared" ref="G41" si="21">F41/G$35</f>
        <v>0</v>
      </c>
      <c r="H41" s="384">
        <v>0</v>
      </c>
      <c r="I41" s="390">
        <f t="shared" ref="I41" si="22">H41/I$35</f>
        <v>0</v>
      </c>
      <c r="J41" s="384">
        <v>0</v>
      </c>
      <c r="K41" s="390">
        <f t="shared" ref="K41" si="23">J41/K$35</f>
        <v>0</v>
      </c>
      <c r="L41" s="384">
        <v>0</v>
      </c>
      <c r="M41" s="390">
        <f t="shared" ref="M41" si="24">L41/M$35</f>
        <v>0</v>
      </c>
      <c r="N41" s="384">
        <v>0</v>
      </c>
      <c r="O41" s="390">
        <f t="shared" ref="O41" si="25">N41/O$35</f>
        <v>0</v>
      </c>
      <c r="P41" s="384">
        <v>0</v>
      </c>
      <c r="Q41" s="390">
        <v>0</v>
      </c>
      <c r="R41" s="384"/>
      <c r="S41" s="390">
        <f t="shared" ref="S41" si="26">R41/S$35</f>
        <v>0</v>
      </c>
      <c r="T41" s="384"/>
      <c r="U41" s="393" t="e">
        <f t="shared" si="13"/>
        <v>#DIV/0!</v>
      </c>
      <c r="W41" s="807">
        <f t="shared" si="5"/>
        <v>0</v>
      </c>
      <c r="X41" s="193" t="e">
        <f t="shared" si="14"/>
        <v>#DIV/0!</v>
      </c>
    </row>
    <row r="42" spans="1:24" x14ac:dyDescent="0.2">
      <c r="A42" s="382" t="s">
        <v>49</v>
      </c>
      <c r="B42" s="384">
        <v>0</v>
      </c>
      <c r="C42" s="390">
        <f t="shared" si="6"/>
        <v>0</v>
      </c>
      <c r="D42" s="384">
        <v>1</v>
      </c>
      <c r="E42" s="390">
        <f t="shared" si="6"/>
        <v>0.1111111111111111</v>
      </c>
      <c r="F42" s="384">
        <v>1</v>
      </c>
      <c r="G42" s="390">
        <f t="shared" ref="G42" si="27">F42/G$35</f>
        <v>9.0909090909090912E-2</v>
      </c>
      <c r="H42" s="384">
        <v>0</v>
      </c>
      <c r="I42" s="390">
        <f t="shared" ref="I42" si="28">H42/I$35</f>
        <v>0</v>
      </c>
      <c r="J42" s="384">
        <v>0</v>
      </c>
      <c r="K42" s="390">
        <f t="shared" ref="K42" si="29">J42/K$35</f>
        <v>0</v>
      </c>
      <c r="L42" s="384">
        <v>0</v>
      </c>
      <c r="M42" s="390">
        <f t="shared" ref="M42" si="30">L42/M$35</f>
        <v>0</v>
      </c>
      <c r="N42" s="384">
        <v>0</v>
      </c>
      <c r="O42" s="390">
        <f t="shared" ref="O42" si="31">N42/O$35</f>
        <v>0</v>
      </c>
      <c r="P42" s="384">
        <v>0</v>
      </c>
      <c r="Q42" s="390">
        <v>0</v>
      </c>
      <c r="R42" s="384"/>
      <c r="S42" s="390">
        <f t="shared" ref="S42" si="32">R42/S$35</f>
        <v>0</v>
      </c>
      <c r="T42" s="384"/>
      <c r="U42" s="393" t="e">
        <f t="shared" si="13"/>
        <v>#DIV/0!</v>
      </c>
      <c r="W42" s="807">
        <f t="shared" si="5"/>
        <v>0</v>
      </c>
      <c r="X42" s="193" t="e">
        <f t="shared" si="14"/>
        <v>#DIV/0!</v>
      </c>
    </row>
    <row r="43" spans="1:24" x14ac:dyDescent="0.2">
      <c r="A43" s="382" t="s">
        <v>50</v>
      </c>
      <c r="B43" s="384">
        <v>0</v>
      </c>
      <c r="C43" s="390">
        <f t="shared" si="6"/>
        <v>0</v>
      </c>
      <c r="D43" s="384">
        <v>0</v>
      </c>
      <c r="E43" s="390">
        <f t="shared" si="6"/>
        <v>0</v>
      </c>
      <c r="F43" s="384">
        <v>0</v>
      </c>
      <c r="G43" s="390">
        <f t="shared" ref="G43" si="33">F43/G$35</f>
        <v>0</v>
      </c>
      <c r="H43" s="384">
        <v>0</v>
      </c>
      <c r="I43" s="390">
        <f t="shared" ref="I43" si="34">H43/I$35</f>
        <v>0</v>
      </c>
      <c r="J43" s="384">
        <v>0</v>
      </c>
      <c r="K43" s="390">
        <f t="shared" ref="K43" si="35">J43/K$35</f>
        <v>0</v>
      </c>
      <c r="L43" s="384">
        <v>0</v>
      </c>
      <c r="M43" s="390">
        <f t="shared" ref="M43" si="36">L43/M$35</f>
        <v>0</v>
      </c>
      <c r="N43" s="384">
        <v>0</v>
      </c>
      <c r="O43" s="390">
        <f t="shared" ref="O43" si="37">N43/O$35</f>
        <v>0</v>
      </c>
      <c r="P43" s="384">
        <v>0</v>
      </c>
      <c r="Q43" s="390">
        <v>0</v>
      </c>
      <c r="R43" s="384"/>
      <c r="S43" s="390">
        <f t="shared" ref="S43" si="38">R43/S$35</f>
        <v>0</v>
      </c>
      <c r="T43" s="384"/>
      <c r="U43" s="393" t="e">
        <f t="shared" si="13"/>
        <v>#DIV/0!</v>
      </c>
      <c r="W43" s="807">
        <f t="shared" si="5"/>
        <v>0</v>
      </c>
      <c r="X43" s="193" t="e">
        <f t="shared" si="14"/>
        <v>#DIV/0!</v>
      </c>
    </row>
    <row r="44" spans="1:24" x14ac:dyDescent="0.2">
      <c r="A44" s="382" t="s">
        <v>51</v>
      </c>
      <c r="B44" s="784"/>
      <c r="C44" s="783"/>
      <c r="D44" s="784"/>
      <c r="E44" s="783"/>
      <c r="F44" s="784"/>
      <c r="G44" s="783"/>
      <c r="H44" s="385">
        <v>1</v>
      </c>
      <c r="I44" s="390">
        <f t="shared" ref="I44" si="39">H44/I$35</f>
        <v>0.16666666666666666</v>
      </c>
      <c r="J44" s="385">
        <v>1</v>
      </c>
      <c r="K44" s="390">
        <f t="shared" ref="K44" si="40">J44/K$35</f>
        <v>0.25</v>
      </c>
      <c r="L44" s="385">
        <v>1</v>
      </c>
      <c r="M44" s="390">
        <f t="shared" ref="M44" si="41">L44/M$35</f>
        <v>0.16666666666666666</v>
      </c>
      <c r="N44" s="385">
        <v>1</v>
      </c>
      <c r="O44" s="390">
        <f t="shared" ref="O44" si="42">N44/O$35</f>
        <v>0.2</v>
      </c>
      <c r="P44" s="385">
        <v>0</v>
      </c>
      <c r="Q44" s="390">
        <v>0</v>
      </c>
      <c r="R44" s="385"/>
      <c r="S44" s="390">
        <f t="shared" ref="S44" si="43">R44/S$35</f>
        <v>0</v>
      </c>
      <c r="T44" s="385"/>
      <c r="U44" s="393" t="e">
        <f t="shared" si="13"/>
        <v>#DIV/0!</v>
      </c>
      <c r="W44" s="807">
        <f t="shared" si="5"/>
        <v>0.66666666666666663</v>
      </c>
      <c r="X44" s="193" t="e">
        <f t="shared" si="14"/>
        <v>#DIV/0!</v>
      </c>
    </row>
    <row r="45" spans="1:24" ht="13.5" thickBot="1" x14ac:dyDescent="0.25">
      <c r="A45" s="382" t="s">
        <v>52</v>
      </c>
      <c r="B45" s="385">
        <v>0</v>
      </c>
      <c r="C45" s="490">
        <f t="shared" si="6"/>
        <v>0</v>
      </c>
      <c r="D45" s="385">
        <v>0</v>
      </c>
      <c r="E45" s="490">
        <f t="shared" si="6"/>
        <v>0</v>
      </c>
      <c r="F45" s="385">
        <v>0</v>
      </c>
      <c r="G45" s="490">
        <f t="shared" ref="G45" si="44">F45/G$35</f>
        <v>0</v>
      </c>
      <c r="H45" s="385">
        <v>0</v>
      </c>
      <c r="I45" s="490">
        <f t="shared" ref="I45" si="45">H45/I$35</f>
        <v>0</v>
      </c>
      <c r="J45" s="385">
        <v>0</v>
      </c>
      <c r="K45" s="490">
        <f t="shared" ref="K45" si="46">J45/K$35</f>
        <v>0</v>
      </c>
      <c r="L45" s="385">
        <v>0</v>
      </c>
      <c r="M45" s="490">
        <f t="shared" ref="M45" si="47">L45/M$35</f>
        <v>0</v>
      </c>
      <c r="N45" s="385">
        <v>0</v>
      </c>
      <c r="O45" s="490">
        <f t="shared" ref="O45" si="48">N45/O$35</f>
        <v>0</v>
      </c>
      <c r="P45" s="385">
        <v>0</v>
      </c>
      <c r="Q45" s="490">
        <v>0</v>
      </c>
      <c r="R45" s="385"/>
      <c r="S45" s="490">
        <f t="shared" ref="S45" si="49">R45/S$35</f>
        <v>0</v>
      </c>
      <c r="T45" s="385"/>
      <c r="U45" s="491" t="e">
        <f t="shared" si="13"/>
        <v>#DIV/0!</v>
      </c>
      <c r="W45" s="807">
        <f t="shared" si="5"/>
        <v>0</v>
      </c>
      <c r="X45" s="193" t="e">
        <f t="shared" si="14"/>
        <v>#DIV/0!</v>
      </c>
    </row>
    <row r="46" spans="1:24" x14ac:dyDescent="0.2">
      <c r="A46" s="493" t="s">
        <v>53</v>
      </c>
      <c r="B46" s="494"/>
      <c r="C46" s="495"/>
      <c r="D46" s="494"/>
      <c r="E46" s="495"/>
      <c r="F46" s="494"/>
      <c r="G46" s="495"/>
      <c r="H46" s="494"/>
      <c r="I46" s="495"/>
      <c r="J46" s="494"/>
      <c r="K46" s="495"/>
      <c r="L46" s="494"/>
      <c r="M46" s="495"/>
      <c r="N46" s="494"/>
      <c r="O46" s="495"/>
      <c r="P46" s="494"/>
      <c r="Q46" s="495"/>
      <c r="R46" s="494"/>
      <c r="S46" s="495"/>
      <c r="T46" s="494"/>
      <c r="U46" s="496"/>
      <c r="W46" s="807"/>
      <c r="X46" s="193"/>
    </row>
    <row r="47" spans="1:24" x14ac:dyDescent="0.2">
      <c r="A47" s="46" t="s">
        <v>54</v>
      </c>
      <c r="B47" s="386">
        <v>1</v>
      </c>
      <c r="C47" s="390">
        <f t="shared" si="6"/>
        <v>0.5</v>
      </c>
      <c r="D47" s="386">
        <f>1+1+5</f>
        <v>7</v>
      </c>
      <c r="E47" s="390">
        <f t="shared" si="6"/>
        <v>0.77777777777777779</v>
      </c>
      <c r="F47" s="386">
        <v>8</v>
      </c>
      <c r="G47" s="390">
        <f t="shared" ref="G47" si="50">F47/G$35</f>
        <v>0.72727272727272729</v>
      </c>
      <c r="H47" s="386">
        <v>5</v>
      </c>
      <c r="I47" s="390">
        <f t="shared" ref="I47" si="51">H47/I$35</f>
        <v>0.83333333333333337</v>
      </c>
      <c r="J47" s="386">
        <v>3</v>
      </c>
      <c r="K47" s="390">
        <f t="shared" ref="K47" si="52">J47/K$35</f>
        <v>0.75</v>
      </c>
      <c r="L47" s="386">
        <v>3</v>
      </c>
      <c r="M47" s="390">
        <f t="shared" ref="M47" si="53">L47/M$35</f>
        <v>0.5</v>
      </c>
      <c r="N47" s="386">
        <v>3</v>
      </c>
      <c r="O47" s="390">
        <f t="shared" ref="O47" si="54">N47/O$35</f>
        <v>0.6</v>
      </c>
      <c r="P47" s="386">
        <v>0</v>
      </c>
      <c r="Q47" s="390">
        <v>0</v>
      </c>
      <c r="R47" s="386"/>
      <c r="S47" s="390">
        <f t="shared" ref="S47" si="55">R47/S$35</f>
        <v>0</v>
      </c>
      <c r="T47" s="386"/>
      <c r="U47" s="393" t="e">
        <f t="shared" ref="U47:U48" si="56">T47/U$35</f>
        <v>#DIV/0!</v>
      </c>
      <c r="W47" s="807">
        <f t="shared" si="5"/>
        <v>2</v>
      </c>
      <c r="X47" s="193" t="e">
        <f t="shared" si="14"/>
        <v>#DIV/0!</v>
      </c>
    </row>
    <row r="48" spans="1:24" ht="13.5" thickBot="1" x14ac:dyDescent="0.25">
      <c r="A48" s="382" t="s">
        <v>55</v>
      </c>
      <c r="B48" s="492">
        <v>1</v>
      </c>
      <c r="C48" s="490">
        <f t="shared" si="6"/>
        <v>0.5</v>
      </c>
      <c r="D48" s="492">
        <f>1+1</f>
        <v>2</v>
      </c>
      <c r="E48" s="490">
        <f t="shared" si="6"/>
        <v>0.22222222222222221</v>
      </c>
      <c r="F48" s="492">
        <v>3</v>
      </c>
      <c r="G48" s="490">
        <f t="shared" ref="G48" si="57">F48/G$35</f>
        <v>0.27272727272727271</v>
      </c>
      <c r="H48" s="492">
        <v>1</v>
      </c>
      <c r="I48" s="490">
        <f t="shared" ref="I48" si="58">H48/I$35</f>
        <v>0.16666666666666666</v>
      </c>
      <c r="J48" s="492">
        <v>1</v>
      </c>
      <c r="K48" s="490">
        <f t="shared" ref="K48" si="59">J48/K$35</f>
        <v>0.25</v>
      </c>
      <c r="L48" s="492">
        <v>3</v>
      </c>
      <c r="M48" s="490">
        <f t="shared" ref="M48" si="60">L48/M$35</f>
        <v>0.5</v>
      </c>
      <c r="N48" s="492">
        <v>2</v>
      </c>
      <c r="O48" s="490">
        <f t="shared" ref="O48" si="61">N48/O$35</f>
        <v>0.4</v>
      </c>
      <c r="P48" s="492">
        <v>0</v>
      </c>
      <c r="Q48" s="490">
        <v>0</v>
      </c>
      <c r="R48" s="492">
        <v>1</v>
      </c>
      <c r="S48" s="490">
        <f t="shared" ref="S48" si="62">R48/S$35</f>
        <v>1</v>
      </c>
      <c r="T48" s="492"/>
      <c r="U48" s="491" t="e">
        <f t="shared" si="56"/>
        <v>#DIV/0!</v>
      </c>
      <c r="W48" s="807">
        <f t="shared" si="5"/>
        <v>1.5</v>
      </c>
      <c r="X48" s="193" t="e">
        <f t="shared" si="14"/>
        <v>#DIV/0!</v>
      </c>
    </row>
    <row r="49" spans="1:24" x14ac:dyDescent="0.2">
      <c r="A49" s="493" t="s">
        <v>56</v>
      </c>
      <c r="B49" s="497"/>
      <c r="C49" s="495"/>
      <c r="D49" s="497"/>
      <c r="E49" s="495"/>
      <c r="F49" s="497"/>
      <c r="G49" s="495"/>
      <c r="H49" s="497"/>
      <c r="I49" s="495"/>
      <c r="J49" s="497"/>
      <c r="K49" s="495"/>
      <c r="L49" s="497"/>
      <c r="M49" s="495"/>
      <c r="N49" s="497"/>
      <c r="O49" s="495"/>
      <c r="P49" s="497"/>
      <c r="Q49" s="495"/>
      <c r="R49" s="497"/>
      <c r="S49" s="495"/>
      <c r="T49" s="497"/>
      <c r="U49" s="496"/>
      <c r="W49" s="807"/>
      <c r="X49" s="193"/>
    </row>
    <row r="50" spans="1:24" x14ac:dyDescent="0.2">
      <c r="A50" s="46" t="s">
        <v>57</v>
      </c>
      <c r="B50" s="387">
        <v>1</v>
      </c>
      <c r="C50" s="390">
        <f t="shared" si="6"/>
        <v>0.5</v>
      </c>
      <c r="D50" s="387">
        <f>1+1</f>
        <v>2</v>
      </c>
      <c r="E50" s="390">
        <f t="shared" si="6"/>
        <v>0.22222222222222221</v>
      </c>
      <c r="F50" s="387">
        <v>2</v>
      </c>
      <c r="G50" s="390">
        <f t="shared" ref="G50" si="63">F50/G$35</f>
        <v>0.18181818181818182</v>
      </c>
      <c r="H50" s="387">
        <v>0</v>
      </c>
      <c r="I50" s="390">
        <f t="shared" ref="I50" si="64">H50/I$35</f>
        <v>0</v>
      </c>
      <c r="J50" s="387">
        <v>0</v>
      </c>
      <c r="K50" s="390">
        <f t="shared" ref="K50" si="65">J50/K$35</f>
        <v>0</v>
      </c>
      <c r="L50" s="387">
        <v>0</v>
      </c>
      <c r="M50" s="390">
        <f t="shared" ref="M50" si="66">L50/M$35</f>
        <v>0</v>
      </c>
      <c r="N50" s="387">
        <v>0</v>
      </c>
      <c r="O50" s="390">
        <f t="shared" ref="O50" si="67">N50/O$35</f>
        <v>0</v>
      </c>
      <c r="P50" s="387">
        <v>0</v>
      </c>
      <c r="Q50" s="390">
        <v>0</v>
      </c>
      <c r="R50" s="387"/>
      <c r="S50" s="390">
        <f t="shared" ref="S50" si="68">R50/S$35</f>
        <v>0</v>
      </c>
      <c r="T50" s="387"/>
      <c r="U50" s="393" t="e">
        <f t="shared" ref="U50:U52" si="69">T50/U$35</f>
        <v>#DIV/0!</v>
      </c>
      <c r="W50" s="807">
        <f t="shared" si="5"/>
        <v>0</v>
      </c>
      <c r="X50" s="193" t="e">
        <f t="shared" si="14"/>
        <v>#DIV/0!</v>
      </c>
    </row>
    <row r="51" spans="1:24" x14ac:dyDescent="0.2">
      <c r="A51" s="46" t="s">
        <v>58</v>
      </c>
      <c r="B51" s="387">
        <v>0</v>
      </c>
      <c r="C51" s="390">
        <f t="shared" si="6"/>
        <v>0</v>
      </c>
      <c r="D51" s="387">
        <v>0</v>
      </c>
      <c r="E51" s="390">
        <f t="shared" si="6"/>
        <v>0</v>
      </c>
      <c r="F51" s="387">
        <v>0</v>
      </c>
      <c r="G51" s="390">
        <f t="shared" ref="G51" si="70">F51/G$35</f>
        <v>0</v>
      </c>
      <c r="H51" s="387">
        <v>0</v>
      </c>
      <c r="I51" s="390">
        <f t="shared" ref="I51" si="71">H51/I$35</f>
        <v>0</v>
      </c>
      <c r="J51" s="387">
        <v>0</v>
      </c>
      <c r="K51" s="390">
        <f t="shared" ref="K51" si="72">J51/K$35</f>
        <v>0</v>
      </c>
      <c r="L51" s="387">
        <v>0</v>
      </c>
      <c r="M51" s="390">
        <f t="shared" ref="M51" si="73">L51/M$35</f>
        <v>0</v>
      </c>
      <c r="N51" s="387">
        <v>0</v>
      </c>
      <c r="O51" s="390">
        <f t="shared" ref="O51" si="74">N51/O$35</f>
        <v>0</v>
      </c>
      <c r="P51" s="387">
        <v>0</v>
      </c>
      <c r="Q51" s="390">
        <v>0</v>
      </c>
      <c r="R51" s="387"/>
      <c r="S51" s="390">
        <f t="shared" ref="S51" si="75">R51/S$35</f>
        <v>0</v>
      </c>
      <c r="T51" s="387"/>
      <c r="U51" s="393" t="e">
        <f t="shared" si="69"/>
        <v>#DIV/0!</v>
      </c>
      <c r="W51" s="807">
        <f t="shared" si="5"/>
        <v>0</v>
      </c>
      <c r="X51" s="193" t="e">
        <f t="shared" si="14"/>
        <v>#DIV/0!</v>
      </c>
    </row>
    <row r="52" spans="1:24" ht="13.5" thickBot="1" x14ac:dyDescent="0.25">
      <c r="A52" s="382" t="s">
        <v>59</v>
      </c>
      <c r="B52" s="492">
        <v>1</v>
      </c>
      <c r="C52" s="490">
        <f t="shared" si="6"/>
        <v>0.5</v>
      </c>
      <c r="D52" s="492">
        <f>1+6</f>
        <v>7</v>
      </c>
      <c r="E52" s="490">
        <f t="shared" si="6"/>
        <v>0.77777777777777779</v>
      </c>
      <c r="F52" s="492">
        <v>9</v>
      </c>
      <c r="G52" s="490">
        <f t="shared" ref="G52" si="76">F52/G$35</f>
        <v>0.81818181818181823</v>
      </c>
      <c r="H52" s="492">
        <v>6</v>
      </c>
      <c r="I52" s="490">
        <f t="shared" ref="I52" si="77">H52/I$35</f>
        <v>1</v>
      </c>
      <c r="J52" s="492">
        <v>4</v>
      </c>
      <c r="K52" s="490">
        <f t="shared" ref="K52" si="78">J52/K$35</f>
        <v>1</v>
      </c>
      <c r="L52" s="492">
        <v>6</v>
      </c>
      <c r="M52" s="490">
        <f t="shared" ref="M52" si="79">L52/M$35</f>
        <v>1</v>
      </c>
      <c r="N52" s="492">
        <v>5</v>
      </c>
      <c r="O52" s="490">
        <f t="shared" ref="O52" si="80">N52/O$35</f>
        <v>1</v>
      </c>
      <c r="P52" s="492">
        <v>0</v>
      </c>
      <c r="Q52" s="490">
        <v>0</v>
      </c>
      <c r="R52" s="492">
        <v>1</v>
      </c>
      <c r="S52" s="490">
        <f t="shared" ref="S52" si="81">R52/S$35</f>
        <v>1</v>
      </c>
      <c r="T52" s="492"/>
      <c r="U52" s="491" t="e">
        <f t="shared" si="69"/>
        <v>#DIV/0!</v>
      </c>
      <c r="W52" s="807">
        <f t="shared" si="5"/>
        <v>3</v>
      </c>
      <c r="X52" s="193" t="e">
        <f t="shared" si="14"/>
        <v>#DIV/0!</v>
      </c>
    </row>
    <row r="53" spans="1:24" x14ac:dyDescent="0.2">
      <c r="A53" s="493" t="s">
        <v>60</v>
      </c>
      <c r="B53" s="497"/>
      <c r="C53" s="495"/>
      <c r="D53" s="497"/>
      <c r="E53" s="495"/>
      <c r="F53" s="497"/>
      <c r="G53" s="495"/>
      <c r="H53" s="497"/>
      <c r="I53" s="495"/>
      <c r="J53" s="497"/>
      <c r="K53" s="495"/>
      <c r="L53" s="497"/>
      <c r="M53" s="495"/>
      <c r="N53" s="497"/>
      <c r="O53" s="495"/>
      <c r="P53" s="497"/>
      <c r="Q53" s="495"/>
      <c r="R53" s="497"/>
      <c r="S53" s="495"/>
      <c r="T53" s="497"/>
      <c r="U53" s="496"/>
      <c r="W53" s="807"/>
      <c r="X53" s="193"/>
    </row>
    <row r="54" spans="1:24" x14ac:dyDescent="0.2">
      <c r="A54" s="46" t="s">
        <v>61</v>
      </c>
      <c r="B54" s="387">
        <v>2</v>
      </c>
      <c r="C54" s="390">
        <f t="shared" si="6"/>
        <v>1</v>
      </c>
      <c r="D54" s="387">
        <f>2+1+1</f>
        <v>4</v>
      </c>
      <c r="E54" s="390">
        <f t="shared" si="6"/>
        <v>0.44444444444444442</v>
      </c>
      <c r="F54" s="387">
        <v>4</v>
      </c>
      <c r="G54" s="390">
        <f t="shared" ref="G54" si="82">F54/G$35</f>
        <v>0.36363636363636365</v>
      </c>
      <c r="H54" s="387">
        <v>1</v>
      </c>
      <c r="I54" s="390">
        <f t="shared" ref="I54" si="83">H54/I$35</f>
        <v>0.16666666666666666</v>
      </c>
      <c r="J54" s="387">
        <v>0</v>
      </c>
      <c r="K54" s="390">
        <f t="shared" ref="K54" si="84">J54/K$35</f>
        <v>0</v>
      </c>
      <c r="L54" s="387">
        <v>0</v>
      </c>
      <c r="M54" s="390">
        <f t="shared" ref="M54" si="85">L54/M$35</f>
        <v>0</v>
      </c>
      <c r="N54" s="387">
        <v>0</v>
      </c>
      <c r="O54" s="390">
        <f t="shared" ref="O54" si="86">N54/O$35</f>
        <v>0</v>
      </c>
      <c r="P54" s="387">
        <v>0</v>
      </c>
      <c r="Q54" s="390">
        <v>0</v>
      </c>
      <c r="R54" s="387">
        <v>1</v>
      </c>
      <c r="S54" s="390">
        <f t="shared" ref="S54" si="87">R54/S$35</f>
        <v>1</v>
      </c>
      <c r="T54" s="387"/>
      <c r="U54" s="393" t="e">
        <f t="shared" ref="U54:U57" si="88">T54/U$35</f>
        <v>#DIV/0!</v>
      </c>
      <c r="W54" s="807">
        <f t="shared" si="5"/>
        <v>0.25</v>
      </c>
      <c r="X54" s="193" t="e">
        <f t="shared" si="14"/>
        <v>#DIV/0!</v>
      </c>
    </row>
    <row r="55" spans="1:24" x14ac:dyDescent="0.2">
      <c r="A55" s="46" t="s">
        <v>62</v>
      </c>
      <c r="B55" s="387">
        <v>0</v>
      </c>
      <c r="C55" s="390">
        <f t="shared" si="6"/>
        <v>0</v>
      </c>
      <c r="D55" s="387">
        <v>3</v>
      </c>
      <c r="E55" s="390">
        <f t="shared" si="6"/>
        <v>0.33333333333333331</v>
      </c>
      <c r="F55" s="387">
        <v>3</v>
      </c>
      <c r="G55" s="390">
        <f t="shared" ref="G55" si="89">F55/G$35</f>
        <v>0.27272727272727271</v>
      </c>
      <c r="H55" s="387">
        <v>3</v>
      </c>
      <c r="I55" s="390">
        <f t="shared" ref="I55" si="90">H55/I$35</f>
        <v>0.5</v>
      </c>
      <c r="J55" s="387">
        <v>2</v>
      </c>
      <c r="K55" s="390">
        <f t="shared" ref="K55" si="91">J55/K$35</f>
        <v>0.5</v>
      </c>
      <c r="L55" s="387">
        <v>4</v>
      </c>
      <c r="M55" s="390">
        <f t="shared" ref="M55" si="92">L55/M$35</f>
        <v>0.66666666666666663</v>
      </c>
      <c r="N55" s="387">
        <v>3</v>
      </c>
      <c r="O55" s="390">
        <f t="shared" ref="O55" si="93">N55/O$35</f>
        <v>0.6</v>
      </c>
      <c r="P55" s="387">
        <v>0</v>
      </c>
      <c r="Q55" s="390">
        <v>0</v>
      </c>
      <c r="R55" s="387"/>
      <c r="S55" s="390">
        <f t="shared" ref="S55" si="94">R55/S$35</f>
        <v>0</v>
      </c>
      <c r="T55" s="387"/>
      <c r="U55" s="393" t="e">
        <f t="shared" si="88"/>
        <v>#DIV/0!</v>
      </c>
      <c r="W55" s="807">
        <f t="shared" si="5"/>
        <v>2.3333333333333335</v>
      </c>
      <c r="X55" s="193" t="e">
        <f t="shared" si="14"/>
        <v>#DIV/0!</v>
      </c>
    </row>
    <row r="56" spans="1:24" x14ac:dyDescent="0.2">
      <c r="A56" s="46" t="s">
        <v>63</v>
      </c>
      <c r="B56" s="387">
        <v>0</v>
      </c>
      <c r="C56" s="390">
        <f t="shared" si="6"/>
        <v>0</v>
      </c>
      <c r="D56" s="387">
        <v>2</v>
      </c>
      <c r="E56" s="390">
        <f t="shared" si="6"/>
        <v>0.22222222222222221</v>
      </c>
      <c r="F56" s="387">
        <v>4</v>
      </c>
      <c r="G56" s="390">
        <f t="shared" ref="G56" si="95">F56/G$35</f>
        <v>0.36363636363636365</v>
      </c>
      <c r="H56" s="387">
        <v>2</v>
      </c>
      <c r="I56" s="390">
        <f t="shared" ref="I56" si="96">H56/I$35</f>
        <v>0.33333333333333331</v>
      </c>
      <c r="J56" s="387">
        <v>2</v>
      </c>
      <c r="K56" s="390">
        <f t="shared" ref="K56" si="97">J56/K$35</f>
        <v>0.5</v>
      </c>
      <c r="L56" s="387">
        <v>2</v>
      </c>
      <c r="M56" s="390">
        <f t="shared" ref="M56" si="98">L56/M$35</f>
        <v>0.33333333333333331</v>
      </c>
      <c r="N56" s="387">
        <v>2</v>
      </c>
      <c r="O56" s="390">
        <f t="shared" ref="O56" si="99">N56/O$35</f>
        <v>0.4</v>
      </c>
      <c r="P56" s="387">
        <v>0</v>
      </c>
      <c r="Q56" s="390">
        <v>0</v>
      </c>
      <c r="R56" s="387"/>
      <c r="S56" s="390">
        <f t="shared" ref="S56" si="100">R56/S$35</f>
        <v>0</v>
      </c>
      <c r="T56" s="387"/>
      <c r="U56" s="393" t="e">
        <f t="shared" si="88"/>
        <v>#DIV/0!</v>
      </c>
      <c r="W56" s="807">
        <f t="shared" si="5"/>
        <v>1.3333333333333333</v>
      </c>
      <c r="X56" s="193" t="e">
        <f t="shared" si="14"/>
        <v>#DIV/0!</v>
      </c>
    </row>
    <row r="57" spans="1:24" ht="13.5" thickBot="1" x14ac:dyDescent="0.25">
      <c r="A57" s="383" t="s">
        <v>64</v>
      </c>
      <c r="B57" s="388">
        <v>0</v>
      </c>
      <c r="C57" s="391">
        <f t="shared" si="6"/>
        <v>0</v>
      </c>
      <c r="D57" s="388">
        <v>0</v>
      </c>
      <c r="E57" s="391">
        <f t="shared" si="6"/>
        <v>0</v>
      </c>
      <c r="F57" s="388">
        <v>0</v>
      </c>
      <c r="G57" s="391">
        <f t="shared" ref="G57" si="101">F57/G$35</f>
        <v>0</v>
      </c>
      <c r="H57" s="388">
        <v>0</v>
      </c>
      <c r="I57" s="391">
        <f t="shared" ref="I57" si="102">H57/I$35</f>
        <v>0</v>
      </c>
      <c r="J57" s="388">
        <v>0</v>
      </c>
      <c r="K57" s="391">
        <f t="shared" ref="K57" si="103">J57/K$35</f>
        <v>0</v>
      </c>
      <c r="L57" s="388">
        <v>0</v>
      </c>
      <c r="M57" s="391">
        <f t="shared" ref="M57" si="104">L57/M$35</f>
        <v>0</v>
      </c>
      <c r="N57" s="388">
        <v>0</v>
      </c>
      <c r="O57" s="391">
        <f t="shared" ref="O57" si="105">N57/O$35</f>
        <v>0</v>
      </c>
      <c r="P57" s="388">
        <v>0</v>
      </c>
      <c r="Q57" s="391">
        <v>0</v>
      </c>
      <c r="R57" s="388"/>
      <c r="S57" s="391">
        <f t="shared" ref="S57" si="106">R57/S$35</f>
        <v>0</v>
      </c>
      <c r="T57" s="388"/>
      <c r="U57" s="394" t="e">
        <f t="shared" si="88"/>
        <v>#DIV/0!</v>
      </c>
      <c r="W57" s="811">
        <f t="shared" si="5"/>
        <v>0</v>
      </c>
      <c r="X57" s="213" t="e">
        <f t="shared" si="14"/>
        <v>#DIV/0!</v>
      </c>
    </row>
    <row r="58" spans="1:24" ht="13.5" thickTop="1" x14ac:dyDescent="0.2">
      <c r="A58" s="462" t="s">
        <v>160</v>
      </c>
    </row>
  </sheetData>
  <mergeCells count="44">
    <mergeCell ref="B27:C27"/>
    <mergeCell ref="D27:E27"/>
    <mergeCell ref="F27:G27"/>
    <mergeCell ref="H27:I27"/>
    <mergeCell ref="J27:K27"/>
    <mergeCell ref="L27:M27"/>
    <mergeCell ref="W22:X22"/>
    <mergeCell ref="W25:X25"/>
    <mergeCell ref="N27:O27"/>
    <mergeCell ref="P27:Q27"/>
    <mergeCell ref="R27:S27"/>
    <mergeCell ref="W27:X27"/>
    <mergeCell ref="T22:U22"/>
    <mergeCell ref="T25:U25"/>
    <mergeCell ref="T27:U27"/>
    <mergeCell ref="J25:K25"/>
    <mergeCell ref="L25:M25"/>
    <mergeCell ref="N25:O25"/>
    <mergeCell ref="P25:Q25"/>
    <mergeCell ref="R25:S25"/>
    <mergeCell ref="J22:K22"/>
    <mergeCell ref="L22:M22"/>
    <mergeCell ref="N22:O22"/>
    <mergeCell ref="P22:Q22"/>
    <mergeCell ref="R22:S22"/>
    <mergeCell ref="B25:C25"/>
    <mergeCell ref="D25:E25"/>
    <mergeCell ref="F25:G25"/>
    <mergeCell ref="H25:I25"/>
    <mergeCell ref="B22:C22"/>
    <mergeCell ref="D22:E22"/>
    <mergeCell ref="F22:G22"/>
    <mergeCell ref="H22:I22"/>
    <mergeCell ref="N9:O9"/>
    <mergeCell ref="P9:Q9"/>
    <mergeCell ref="R9:S9"/>
    <mergeCell ref="W9:X9"/>
    <mergeCell ref="B9:C9"/>
    <mergeCell ref="D9:E9"/>
    <mergeCell ref="F9:G9"/>
    <mergeCell ref="H9:I9"/>
    <mergeCell ref="J9:K9"/>
    <mergeCell ref="L9:M9"/>
    <mergeCell ref="T9:U9"/>
  </mergeCells>
  <pageMargins left="0.7" right="0.7" top="0.5" bottom="0.5" header="0.3" footer="0.3"/>
  <pageSetup scale="70" orientation="landscape" r:id="rId1"/>
  <headerFooter>
    <oddFooter>&amp;LPrepared by Planning and Analysis &amp;C&amp;P of &amp;N&amp;RUpdated &amp;D</oddFooter>
  </headerFooter>
  <colBreaks count="1" manualBreakCount="1">
    <brk id="21" min="8" max="66" man="1"/>
  </colBreaks>
  <ignoredErrors>
    <ignoredError sqref="D38:D5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abSelected="1" zoomScaleNormal="100" workbookViewId="0">
      <pane xSplit="5" topLeftCell="F1" activePane="topRight" state="frozen"/>
      <selection pane="topRight"/>
    </sheetView>
  </sheetViews>
  <sheetFormatPr defaultRowHeight="12.75" x14ac:dyDescent="0.2"/>
  <cols>
    <col min="1" max="1" width="34.1406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hidden="1" customWidth="1"/>
    <col min="7" max="7" width="10.7109375" hidden="1" customWidth="1"/>
    <col min="8" max="8" width="6.7109375" hidden="1" customWidth="1"/>
    <col min="9" max="9" width="10.7109375" hidden="1" customWidth="1"/>
    <col min="10" max="10" width="8.5703125" bestFit="1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2" width="10.7109375" customWidth="1"/>
  </cols>
  <sheetData>
    <row r="1" spans="1:23" ht="15.75" x14ac:dyDescent="0.25">
      <c r="A1" s="438" t="s">
        <v>148</v>
      </c>
    </row>
    <row r="2" spans="1:23" ht="15.75" x14ac:dyDescent="0.25">
      <c r="A2" s="438" t="s">
        <v>149</v>
      </c>
    </row>
    <row r="3" spans="1:23" ht="15.75" x14ac:dyDescent="0.25">
      <c r="A3" s="438"/>
    </row>
    <row r="4" spans="1:23" ht="15.75" x14ac:dyDescent="0.25">
      <c r="A4" s="440" t="s">
        <v>150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</row>
    <row r="5" spans="1:23" ht="15.75" x14ac:dyDescent="0.25">
      <c r="A5" s="440"/>
      <c r="U5" s="47" t="s">
        <v>19</v>
      </c>
    </row>
    <row r="6" spans="1:23" x14ac:dyDescent="0.2">
      <c r="A6" s="2" t="s">
        <v>183</v>
      </c>
    </row>
    <row r="7" spans="1:23" x14ac:dyDescent="0.2">
      <c r="A7" s="687"/>
      <c r="T7" s="47" t="s">
        <v>19</v>
      </c>
    </row>
    <row r="8" spans="1:23" ht="13.5" thickBot="1" x14ac:dyDescent="0.25"/>
    <row r="9" spans="1:23" ht="13.5" thickTop="1" x14ac:dyDescent="0.2">
      <c r="A9" s="3"/>
      <c r="B9" s="943" t="s">
        <v>0</v>
      </c>
      <c r="C9" s="940"/>
      <c r="D9" s="943" t="s">
        <v>1</v>
      </c>
      <c r="E9" s="940"/>
      <c r="F9" s="943" t="s">
        <v>2</v>
      </c>
      <c r="G9" s="940"/>
      <c r="H9" s="943" t="s">
        <v>3</v>
      </c>
      <c r="I9" s="940"/>
      <c r="J9" s="943" t="s">
        <v>4</v>
      </c>
      <c r="K9" s="940"/>
      <c r="L9" s="943" t="s">
        <v>5</v>
      </c>
      <c r="M9" s="940"/>
      <c r="N9" s="943" t="s">
        <v>6</v>
      </c>
      <c r="O9" s="940"/>
      <c r="P9" s="943" t="s">
        <v>7</v>
      </c>
      <c r="Q9" s="940"/>
      <c r="R9" s="943" t="s">
        <v>8</v>
      </c>
      <c r="S9" s="940"/>
      <c r="T9" s="943" t="s">
        <v>186</v>
      </c>
      <c r="U9" s="944"/>
      <c r="V9" s="805"/>
      <c r="W9" s="66"/>
    </row>
    <row r="10" spans="1:23" ht="24.75" thickBot="1" x14ac:dyDescent="0.25">
      <c r="A10" s="51" t="s">
        <v>176</v>
      </c>
      <c r="B10" s="688" t="s">
        <v>174</v>
      </c>
      <c r="C10" s="689" t="s">
        <v>173</v>
      </c>
      <c r="D10" s="688" t="s">
        <v>174</v>
      </c>
      <c r="E10" s="689" t="s">
        <v>173</v>
      </c>
      <c r="F10" s="690" t="s">
        <v>174</v>
      </c>
      <c r="G10" s="689" t="s">
        <v>173</v>
      </c>
      <c r="H10" s="690" t="s">
        <v>174</v>
      </c>
      <c r="I10" s="689" t="s">
        <v>173</v>
      </c>
      <c r="J10" s="690" t="s">
        <v>174</v>
      </c>
      <c r="K10" s="689" t="s">
        <v>173</v>
      </c>
      <c r="L10" s="690" t="s">
        <v>174</v>
      </c>
      <c r="M10" s="689" t="s">
        <v>173</v>
      </c>
      <c r="N10" s="690" t="s">
        <v>174</v>
      </c>
      <c r="O10" s="689" t="s">
        <v>173</v>
      </c>
      <c r="P10" s="690" t="s">
        <v>174</v>
      </c>
      <c r="Q10" s="691" t="s">
        <v>173</v>
      </c>
      <c r="R10" s="690" t="s">
        <v>174</v>
      </c>
      <c r="S10" s="845" t="s">
        <v>173</v>
      </c>
      <c r="T10" s="692" t="s">
        <v>174</v>
      </c>
      <c r="U10" s="672" t="s">
        <v>173</v>
      </c>
      <c r="V10" s="693"/>
      <c r="W10" s="66"/>
    </row>
    <row r="11" spans="1:23" x14ac:dyDescent="0.2">
      <c r="A11" s="694" t="s">
        <v>177</v>
      </c>
      <c r="B11" s="762">
        <f>'Arch Eng Cons Science'!B14+'Arch Eng Cons Science'!B19+'Bio Ag Engineering '!B14+'Chemical '!B14+Civil!B14+'Computer Science'!B15+'Computer Science'!B24+'Electrical  Computer'!B15+'Electrical  Computer'!B21+'Industrial Manu'!B15+'Mechanical Nuclear'!B15</f>
        <v>2656</v>
      </c>
      <c r="C11" s="891">
        <f>'Arch Eng Cons Science'!C14+'Arch Eng Cons Science'!C19+'Bio Ag Engineering '!C14+'Chemical '!C14+Civil!C14+'Computer Science'!C15+'Computer Science'!C24+'Electrical  Computer'!C15+'Electrical  Computer'!C21+'Industrial Manu'!C15+'Mechanical Nuclear'!C15</f>
        <v>412</v>
      </c>
      <c r="D11" s="762">
        <f>'Arch Eng Cons Science'!D14+'Arch Eng Cons Science'!D19+'Bio Ag Engineering '!D14+'Chemical '!D14+Civil!D14+'Computer Science'!D15+'Computer Science'!D24+'Electrical  Computer'!D15+'Electrical  Computer'!D21+'Industrial Manu'!D15+'Mechanical Nuclear'!D15</f>
        <v>2792</v>
      </c>
      <c r="E11" s="760">
        <f>'Arch Eng Cons Science'!E14+'Arch Eng Cons Science'!E19+'Bio Ag Engineering '!E14+'Chemical '!E14+Civil!E14+'Computer Science'!E15+'Computer Science'!E24+'Electrical  Computer'!E15+'Electrical  Computer'!E21+'Industrial Manu'!E15+'Mechanical Nuclear'!E15</f>
        <v>450</v>
      </c>
      <c r="F11" s="762">
        <f>'Arch Eng Cons Science'!F14+'Arch Eng Cons Science'!F19+'Bio Ag Engineering '!F14+'Chemical '!F14+Civil!F14+'Computer Science'!F15+'Computer Science'!F24+'Electrical  Computer'!F15+'Electrical  Computer'!F21+'Industrial Manu'!F15+'Mechanical Nuclear'!F15</f>
        <v>2864</v>
      </c>
      <c r="G11" s="760">
        <f>'Arch Eng Cons Science'!G14+'Arch Eng Cons Science'!G19+'Bio Ag Engineering '!G14+'Chemical '!G14+Civil!G14+'Computer Science'!G15+'Computer Science'!G24+'Electrical  Computer'!G15+'Electrical  Computer'!G21+'Industrial Manu'!G15+'Mechanical Nuclear'!G15</f>
        <v>410</v>
      </c>
      <c r="H11" s="762">
        <f>'Arch Eng Cons Science'!H14+'Arch Eng Cons Science'!H19+'Bio Ag Engineering '!H14+'Chemical '!H14+Civil!H14+'Computer Science'!H15+'Computer Science'!H24+'Electrical  Computer'!H15+'Electrical  Computer'!H21+'Industrial Manu'!H15+'Mechanical Nuclear'!H15</f>
        <v>2840</v>
      </c>
      <c r="I11" s="760">
        <f>'Arch Eng Cons Science'!I14+'Arch Eng Cons Science'!I19+'Bio Ag Engineering '!I14+'Chemical '!I14+Civil!I14+'Computer Science'!I15+'Computer Science'!I24+'Electrical  Computer'!I15+'Electrical  Computer'!I21+'Industrial Manu'!I15+'Mechanical Nuclear'!I15</f>
        <v>440</v>
      </c>
      <c r="J11" s="762">
        <f>'Arch Eng Cons Science'!J14+'Arch Eng Cons Science'!J19+'Bio Ag Engineering '!J14+'Chemical '!J14+Civil!J14+'Computer Science'!J15+'Computer Science'!J24+'Electrical  Computer'!J15+'Electrical  Computer'!J21+'Industrial Manu'!J15+'Mechanical Nuclear'!J15</f>
        <v>2910</v>
      </c>
      <c r="K11" s="760">
        <f>'Arch Eng Cons Science'!K14+'Arch Eng Cons Science'!K19+'Bio Ag Engineering '!K14+'Chemical '!K14+Civil!K14+'Computer Science'!K15+'Computer Science'!K24+'Electrical  Computer'!K15+'Electrical  Computer'!K21+'Industrial Manu'!K15+'Mechanical Nuclear'!K15</f>
        <v>482</v>
      </c>
      <c r="L11" s="762">
        <f>'Arch Eng Cons Science'!L14+'Arch Eng Cons Science'!L19+'Bio Ag Engineering '!L14+'Chemical '!L14+Civil!L14+'Computer Science'!L15+'Computer Science'!L24+'Electrical  Computer'!L15+'Electrical  Computer'!L21+'Industrial Manu'!L15+'Mechanical Nuclear'!L15</f>
        <v>3048</v>
      </c>
      <c r="M11" s="888">
        <f>'Arch Eng Cons Science'!M14+'Arch Eng Cons Science'!M19+'Bio Ag Engineering '!M14+'Chemical '!M14+Civil!M14+'Computer Science'!M15+'Computer Science'!M24+'Electrical  Computer'!M15+'Electrical  Computer'!M21+'Industrial Manu'!M15+'Mechanical Nuclear'!M15</f>
        <v>472</v>
      </c>
      <c r="N11" s="762">
        <f>'Arch Eng Cons Science'!N14+'Arch Eng Cons Science'!N19+'Bio Ag Engineering '!N14+'Chemical '!N14+Civil!N14+'Computer Science'!N15+'Computer Science'!N24+'Electrical  Computer'!N15+'Electrical  Computer'!N21+'Industrial Manu'!N15+'Mechanical Nuclear'!N15</f>
        <v>3224</v>
      </c>
      <c r="O11" s="760">
        <f>'Arch Eng Cons Science'!O14+'Arch Eng Cons Science'!O19+'Bio Ag Engineering '!O14+'Chemical '!O14+Civil!O14+'Computer Science'!O15+'Computer Science'!O24+'Electrical  Computer'!O15+'Electrical  Computer'!O21+'Industrial Manu'!O15+'Mechanical Nuclear'!O15</f>
        <v>531</v>
      </c>
      <c r="P11" s="762">
        <f>'Arch Eng Cons Science'!P14+'Arch Eng Cons Science'!P19+'Bio Ag Engineering '!P14+'Chemical '!P14+Civil!P14+'Computer Science'!P15+'Computer Science'!P24+'Electrical  Computer'!P15+'Electrical  Computer'!P21+'Industrial Manu'!P15+'Mechanical Nuclear'!P15</f>
        <v>3379</v>
      </c>
      <c r="Q11" s="760">
        <f>'Arch Eng Cons Science'!Q14+'Arch Eng Cons Science'!Q19+'Bio Ag Engineering '!Q14+'Chemical '!Q14+Civil!Q14+'Computer Science'!Q15+'Computer Science'!Q24+'Electrical  Computer'!Q15+'Electrical  Computer'!Q21+'Industrial Manu'!Q15+'Mechanical Nuclear'!Q15</f>
        <v>499</v>
      </c>
      <c r="R11" s="762">
        <f>'Arch Eng Cons Science'!R14+'Arch Eng Cons Science'!R19+'Bio Ag Engineering '!R14+'Chemical '!R14+Civil!R14+'Computer Science'!R15+'Computer Science'!R24+'Electrical  Computer'!R15+'Electrical  Computer'!R21+'Industrial Manu'!R15+'Mechanical Nuclear'!R15</f>
        <v>3516</v>
      </c>
      <c r="S11" s="760">
        <f>'Arch Eng Cons Science'!S14+'Arch Eng Cons Science'!S19+'Bio Ag Engineering '!S14+'Chemical '!S14+Civil!S14+'Computer Science'!S15+'Computer Science'!S24+'Electrical  Computer'!S15+'Electrical  Computer'!S21+'Industrial Manu'!S15+'Mechanical Nuclear'!S15</f>
        <v>498</v>
      </c>
      <c r="T11" s="762">
        <f>'Arch Eng Cons Science'!T14+'Arch Eng Cons Science'!T19+'Bio Ag Engineering '!T14+'Chemical '!T14+Civil!T14+'Computer Science'!T15+'Computer Science'!T24+'Electrical  Computer'!T15+'Electrical  Computer'!T21+'Industrial Manu'!T15+'Mechanical Nuclear'!T15</f>
        <v>3752</v>
      </c>
      <c r="U11" s="880"/>
      <c r="V11" s="66"/>
      <c r="W11" s="66"/>
    </row>
    <row r="12" spans="1:23" x14ac:dyDescent="0.2">
      <c r="A12" s="772" t="s">
        <v>127</v>
      </c>
      <c r="B12" s="763">
        <f>'Dean''s Office '!B13</f>
        <v>264</v>
      </c>
      <c r="C12" s="887" t="str">
        <f>'Dean''s Office '!C13</f>
        <v>xxxxx</v>
      </c>
      <c r="D12" s="763">
        <f>'Dean''s Office '!D13</f>
        <v>201</v>
      </c>
      <c r="E12" s="887" t="str">
        <f>'Dean''s Office '!E13</f>
        <v>xxxxx</v>
      </c>
      <c r="F12" s="763">
        <f>'Dean''s Office '!F13</f>
        <v>187</v>
      </c>
      <c r="G12" s="887" t="str">
        <f>'Dean''s Office '!G13</f>
        <v>xxxxx</v>
      </c>
      <c r="H12" s="763">
        <f>'Dean''s Office '!H13</f>
        <v>177</v>
      </c>
      <c r="I12" s="887" t="str">
        <f>'Dean''s Office '!I13</f>
        <v>xxxx</v>
      </c>
      <c r="J12" s="763">
        <f>'Dean''s Office '!J13</f>
        <v>180</v>
      </c>
      <c r="K12" s="887" t="str">
        <f>'Dean''s Office '!K13</f>
        <v>xxxx</v>
      </c>
      <c r="L12" s="763">
        <f>'Dean''s Office '!L13</f>
        <v>155</v>
      </c>
      <c r="M12" s="887" t="str">
        <f>'Dean''s Office '!M13</f>
        <v>xxxx</v>
      </c>
      <c r="N12" s="763">
        <f>'Dean''s Office '!N13</f>
        <v>141</v>
      </c>
      <c r="O12" s="887" t="str">
        <f>'Dean''s Office '!O13</f>
        <v>xxxx</v>
      </c>
      <c r="P12" s="763">
        <f>'Dean''s Office '!P13</f>
        <v>168</v>
      </c>
      <c r="Q12" s="887" t="str">
        <f>'Dean''s Office '!Q13</f>
        <v>xxxx</v>
      </c>
      <c r="R12" s="763">
        <f>'Dean''s Office '!R13</f>
        <v>188</v>
      </c>
      <c r="S12" s="887" t="str">
        <f>'Dean''s Office '!S13</f>
        <v>xxxx</v>
      </c>
      <c r="T12" s="763">
        <f>'Dean''s Office '!T13</f>
        <v>166</v>
      </c>
      <c r="U12" s="889" t="s">
        <v>130</v>
      </c>
      <c r="V12" s="66"/>
      <c r="W12" s="66"/>
    </row>
    <row r="13" spans="1:23" x14ac:dyDescent="0.2">
      <c r="A13" s="772" t="s">
        <v>194</v>
      </c>
      <c r="B13" s="892"/>
      <c r="C13" s="893"/>
      <c r="D13" s="763">
        <v>0</v>
      </c>
      <c r="E13" s="894">
        <v>1</v>
      </c>
      <c r="F13" s="895">
        <v>2</v>
      </c>
      <c r="G13" s="894">
        <v>2</v>
      </c>
      <c r="H13" s="895">
        <v>9</v>
      </c>
      <c r="I13" s="894">
        <v>6</v>
      </c>
      <c r="J13" s="895">
        <v>11</v>
      </c>
      <c r="K13" s="894">
        <v>1</v>
      </c>
      <c r="L13" s="895">
        <v>10</v>
      </c>
      <c r="M13" s="894">
        <v>1</v>
      </c>
      <c r="N13" s="895">
        <v>12</v>
      </c>
      <c r="O13" s="894">
        <v>4</v>
      </c>
      <c r="P13" s="895">
        <v>11</v>
      </c>
      <c r="Q13" s="894">
        <v>4</v>
      </c>
      <c r="R13" s="763">
        <v>13</v>
      </c>
      <c r="S13" s="894">
        <f>'Bio Ag Engineering '!S15</f>
        <v>7</v>
      </c>
      <c r="T13" s="763">
        <f>'Bio Ag Engineering '!T15</f>
        <v>6</v>
      </c>
      <c r="U13" s="889"/>
      <c r="V13" s="66"/>
      <c r="W13" s="66"/>
    </row>
    <row r="14" spans="1:23" x14ac:dyDescent="0.2">
      <c r="A14" s="695" t="s">
        <v>96</v>
      </c>
      <c r="B14" s="763">
        <f>'Computer Science'!B16+'Electrical  Computer'!B22+'Electrical  Computer'!B23+'Industrial Manu'!B19+'Industrial Manu'!B21+'Industrial Manu'!B24+'Mechanical Nuclear'!B20</f>
        <v>10</v>
      </c>
      <c r="C14" s="761">
        <f>'Computer Science'!C16+'Electrical  Computer'!C22+'Electrical  Computer'!C23+'Industrial Manu'!C19+'Industrial Manu'!C21+'Industrial Manu'!C24+'Mechanical Nuclear'!C20</f>
        <v>10</v>
      </c>
      <c r="D14" s="763">
        <f>'Computer Science'!D16+'Electrical  Computer'!D22+'Electrical  Computer'!D23+'Industrial Manu'!D19+'Industrial Manu'!D21+'Industrial Manu'!D24+'Mechanical Nuclear'!D20</f>
        <v>5</v>
      </c>
      <c r="E14" s="761">
        <f>'Computer Science'!E16+'Electrical  Computer'!E22+'Electrical  Computer'!E23+'Industrial Manu'!E19+'Industrial Manu'!E21+'Industrial Manu'!E24+'Mechanical Nuclear'!E20</f>
        <v>11</v>
      </c>
      <c r="F14" s="763">
        <f>'Computer Science'!F16+'Electrical  Computer'!F22+'Electrical  Computer'!F23+'Industrial Manu'!F19+'Industrial Manu'!F21+'Industrial Manu'!F24+'Mechanical Nuclear'!F20</f>
        <v>4</v>
      </c>
      <c r="G14" s="761">
        <f>'Computer Science'!G16+'Electrical  Computer'!G22+'Electrical  Computer'!G23+'Industrial Manu'!G19+'Industrial Manu'!G21+'Industrial Manu'!G24+'Mechanical Nuclear'!G20</f>
        <v>9</v>
      </c>
      <c r="H14" s="763">
        <f>'Computer Science'!H16+'Electrical  Computer'!H22+'Electrical  Computer'!H23+'Industrial Manu'!H19+'Industrial Manu'!H21+'Industrial Manu'!H24+'Mechanical Nuclear'!H20</f>
        <v>2</v>
      </c>
      <c r="I14" s="761">
        <f>'Computer Science'!I16+'Electrical  Computer'!I22+'Electrical  Computer'!I23+'Industrial Manu'!I19+'Industrial Manu'!I21+'Industrial Manu'!I24+'Mechanical Nuclear'!I20</f>
        <v>4</v>
      </c>
      <c r="J14" s="763">
        <f>'Computer Science'!J16+'Electrical  Computer'!J22+'Electrical  Computer'!J23+'Industrial Manu'!J19+'Industrial Manu'!J21+'Industrial Manu'!J24+'Mechanical Nuclear'!J20</f>
        <v>4</v>
      </c>
      <c r="K14" s="761">
        <f>'Computer Science'!K16+'Electrical  Computer'!K22+'Electrical  Computer'!K23+'Industrial Manu'!K19+'Industrial Manu'!K21+'Industrial Manu'!K24+'Mechanical Nuclear'!K20</f>
        <v>7</v>
      </c>
      <c r="L14" s="763">
        <f>'Computer Science'!L16+'Electrical  Computer'!L22+'Electrical  Computer'!L23+'Industrial Manu'!L19+'Industrial Manu'!L21+'Industrial Manu'!L24+'Mechanical Nuclear'!L20</f>
        <v>7</v>
      </c>
      <c r="M14" s="761">
        <f>'Computer Science'!M16+'Electrical  Computer'!M22+'Electrical  Computer'!M23+'Industrial Manu'!M19+'Industrial Manu'!M21+'Industrial Manu'!M24+'Mechanical Nuclear'!M20</f>
        <v>4</v>
      </c>
      <c r="N14" s="763">
        <f>'Computer Science'!N16+'Electrical  Computer'!N22+'Electrical  Computer'!N23+'Industrial Manu'!N19+'Industrial Manu'!N21+'Industrial Manu'!N24+'Mechanical Nuclear'!N20</f>
        <v>20</v>
      </c>
      <c r="O14" s="761">
        <f>'Computer Science'!O16+'Electrical  Computer'!O22+'Electrical  Computer'!O23+'Industrial Manu'!O19+'Industrial Manu'!O21+'Industrial Manu'!O24+'Mechanical Nuclear'!O20</f>
        <v>11</v>
      </c>
      <c r="P14" s="763">
        <f>'Computer Science'!P16+'Electrical  Computer'!P22+'Electrical  Computer'!P23+'Industrial Manu'!P19+'Industrial Manu'!P21+'Industrial Manu'!P24+'Mechanical Nuclear'!P20</f>
        <v>30</v>
      </c>
      <c r="Q14" s="761">
        <f>'Computer Science'!Q16+'Electrical  Computer'!Q22+'Electrical  Computer'!Q23+'Industrial Manu'!Q19+'Industrial Manu'!Q21+'Industrial Manu'!Q24+'Mechanical Nuclear'!Q20</f>
        <v>10</v>
      </c>
      <c r="R14" s="763">
        <f>'Computer Science'!R16+'Electrical  Computer'!R22+'Electrical  Computer'!R23+'Industrial Manu'!R19+'Industrial Manu'!R21+'Industrial Manu'!R24+'Mechanical Nuclear'!R20</f>
        <v>39</v>
      </c>
      <c r="S14" s="761">
        <f>'Computer Science'!S16+'Electrical  Computer'!S22+'Electrical  Computer'!S23+'Industrial Manu'!S19+'Industrial Manu'!S21+'Industrial Manu'!S24+'Mechanical Nuclear'!S20</f>
        <v>11</v>
      </c>
      <c r="T14" s="763">
        <f>'Computer Science'!T16+'Electrical  Computer'!T22+'Electrical  Computer'!T23+'Industrial Manu'!T19+'Industrial Manu'!T21+'Industrial Manu'!T24+'Mechanical Nuclear'!T20</f>
        <v>35</v>
      </c>
      <c r="U14" s="881"/>
      <c r="V14" s="66"/>
      <c r="W14" s="66"/>
    </row>
    <row r="15" spans="1:23" x14ac:dyDescent="0.2">
      <c r="A15" s="695" t="s">
        <v>178</v>
      </c>
      <c r="B15" s="763">
        <f>'Arch Eng Cons Science'!B15+'Bio Ag Engineering '!B17+'Chemical '!B15+Civil!B15+'Computer Science'!B17+'Computer Science'!B20+'Electrical  Computer'!B16+'Industrial Manu'!B16+'Industrial Manu'!B22+'Industrial Manu'!B25+'Mechanical Nuclear'!B16+'Mechanical Nuclear'!B21</f>
        <v>335</v>
      </c>
      <c r="C15" s="761">
        <f>'Arch Eng Cons Science'!C15+'Bio Ag Engineering '!C17+'Chemical '!C15+Civil!C15+'Computer Science'!C17+'Computer Science'!C20+'Electrical  Computer'!C16+'Industrial Manu'!C16+'Industrial Manu'!C22+'Industrial Manu'!C25+'Mechanical Nuclear'!C16+'Mechanical Nuclear'!C21</f>
        <v>119</v>
      </c>
      <c r="D15" s="763">
        <f>'Arch Eng Cons Science'!D15+'Bio Ag Engineering '!D17+'Chemical '!D15+Civil!D15+'Computer Science'!D17+'Computer Science'!D20+'Electrical  Computer'!D16+'Industrial Manu'!D16+'Industrial Manu'!D22+'Industrial Manu'!D25+'Mechanical Nuclear'!D16+'Mechanical Nuclear'!D21</f>
        <v>364</v>
      </c>
      <c r="E15" s="761">
        <f>'Arch Eng Cons Science'!E15+'Bio Ag Engineering '!E17+'Chemical '!E15+Civil!E15+'Computer Science'!E17+'Computer Science'!E20+'Electrical  Computer'!E16+'Industrial Manu'!E16+'Industrial Manu'!E22+'Industrial Manu'!E25+'Mechanical Nuclear'!E16+'Mechanical Nuclear'!E21</f>
        <v>130</v>
      </c>
      <c r="F15" s="763">
        <f>'Arch Eng Cons Science'!F15+'Bio Ag Engineering '!F17+'Chemical '!F15+Civil!F15+'Computer Science'!F17+'Computer Science'!F20+'Electrical  Computer'!F16+'Industrial Manu'!F16+'Industrial Manu'!F22+'Industrial Manu'!F25+'Mechanical Nuclear'!F16+'Mechanical Nuclear'!F21</f>
        <v>381</v>
      </c>
      <c r="G15" s="761">
        <f>'Arch Eng Cons Science'!G15+'Bio Ag Engineering '!G17+'Chemical '!G15+Civil!G15+'Computer Science'!G17+'Computer Science'!G20+'Electrical  Computer'!G16+'Industrial Manu'!G16+'Industrial Manu'!G22+'Industrial Manu'!G25+'Mechanical Nuclear'!G16+'Mechanical Nuclear'!G21</f>
        <v>125</v>
      </c>
      <c r="H15" s="763">
        <f>'Arch Eng Cons Science'!H15+'Bio Ag Engineering '!H17+'Chemical '!H15+Civil!H15+'Computer Science'!H17+'Computer Science'!H20+'Electrical  Computer'!H16+'Industrial Manu'!H16+'Industrial Manu'!H22+'Industrial Manu'!H25+'Mechanical Nuclear'!H16+'Mechanical Nuclear'!H21</f>
        <v>359</v>
      </c>
      <c r="I15" s="761">
        <f>'Arch Eng Cons Science'!I15+'Bio Ag Engineering '!I17+'Chemical '!I15+Civil!I15+'Computer Science'!I17+'Computer Science'!I20+'Electrical  Computer'!I16+'Industrial Manu'!I16+'Industrial Manu'!I22+'Industrial Manu'!I25+'Mechanical Nuclear'!I16+'Mechanical Nuclear'!I21</f>
        <v>150</v>
      </c>
      <c r="J15" s="763">
        <f>'Arch Eng Cons Science'!J15+'Bio Ag Engineering '!J17+'Chemical '!J15+Civil!J15+'Computer Science'!J17+'Computer Science'!J20+'Electrical  Computer'!J16+'Industrial Manu'!J16+'Industrial Manu'!J22+'Industrial Manu'!J25+'Mechanical Nuclear'!J16+'Mechanical Nuclear'!J21</f>
        <v>343</v>
      </c>
      <c r="K15" s="761">
        <f>'Arch Eng Cons Science'!K15+'Bio Ag Engineering '!K17+'Chemical '!K15+Civil!K15+'Computer Science'!K17+'Computer Science'!K20+'Electrical  Computer'!K16+'Industrial Manu'!K16+'Industrial Manu'!K22+'Industrial Manu'!K25+'Mechanical Nuclear'!K16+'Mechanical Nuclear'!K21</f>
        <v>141</v>
      </c>
      <c r="L15" s="763">
        <f>'Arch Eng Cons Science'!L15+'Bio Ag Engineering '!L17+'Chemical '!L15+Civil!L15+'Computer Science'!L17+'Computer Science'!L20+'Electrical  Computer'!L16+'Industrial Manu'!L16+'Industrial Manu'!L22+'Industrial Manu'!L25+'Mechanical Nuclear'!L16+'Mechanical Nuclear'!L21</f>
        <v>286</v>
      </c>
      <c r="M15" s="761">
        <f>'Arch Eng Cons Science'!M15+'Bio Ag Engineering '!M17+'Chemical '!M15+Civil!M15+'Computer Science'!M17+'Computer Science'!M20+'Electrical  Computer'!M16+'Industrial Manu'!M16+'Industrial Manu'!M22+'Industrial Manu'!M25+'Mechanical Nuclear'!M16+'Mechanical Nuclear'!M21</f>
        <v>125</v>
      </c>
      <c r="N15" s="763">
        <f>'Arch Eng Cons Science'!N15+'Bio Ag Engineering '!N17+'Chemical '!N15+Civil!N15+'Computer Science'!N17+'Computer Science'!N20+'Electrical  Computer'!N16+'Industrial Manu'!N16+'Industrial Manu'!N22+'Industrial Manu'!N25+'Mechanical Nuclear'!N16+'Mechanical Nuclear'!N21</f>
        <v>289</v>
      </c>
      <c r="O15" s="761">
        <f>'Arch Eng Cons Science'!O15+'Bio Ag Engineering '!O17+'Chemical '!O15+Civil!O15+'Computer Science'!O17+'Computer Science'!O20+'Electrical  Computer'!O16+'Industrial Manu'!O16+'Industrial Manu'!O22+'Industrial Manu'!O25+'Mechanical Nuclear'!O16+'Mechanical Nuclear'!O21</f>
        <v>112</v>
      </c>
      <c r="P15" s="763">
        <f>'Arch Eng Cons Science'!P15+'Bio Ag Engineering '!P17+'Chemical '!P15+Civil!P15+'Computer Science'!P17+'Computer Science'!P20+'Electrical  Computer'!P16+'Industrial Manu'!P16+'Industrial Manu'!P22+'Industrial Manu'!P25+'Mechanical Nuclear'!P16+'Mechanical Nuclear'!P21</f>
        <v>308</v>
      </c>
      <c r="Q15" s="761">
        <f>'Arch Eng Cons Science'!Q15+'Bio Ag Engineering '!Q17+'Chemical '!Q15+Civil!Q15+'Computer Science'!Q17+'Computer Science'!Q20+'Electrical  Computer'!Q16+'Industrial Manu'!Q16+'Industrial Manu'!Q22+'Industrial Manu'!Q25+'Mechanical Nuclear'!Q16+'Mechanical Nuclear'!Q21</f>
        <v>120</v>
      </c>
      <c r="R15" s="763">
        <f>'Arch Eng Cons Science'!R15+'Bio Ag Engineering '!R17+'Chemical '!R15+Civil!R15+'Computer Science'!R17+'Computer Science'!R20+'Electrical  Computer'!R16+'Industrial Manu'!R16+'Industrial Manu'!R22+'Industrial Manu'!R25+'Mechanical Nuclear'!R16+'Mechanical Nuclear'!R21</f>
        <v>294</v>
      </c>
      <c r="S15" s="761">
        <f>'Arch Eng Cons Science'!S15+'Bio Ag Engineering '!S17+'Chemical '!S15+Civil!S15+'Computer Science'!S17+'Computer Science'!S20+'Electrical  Computer'!S16+'Industrial Manu'!S16+'Industrial Manu'!S22+'Industrial Manu'!S25+'Mechanical Nuclear'!S16+'Mechanical Nuclear'!S21</f>
        <v>98</v>
      </c>
      <c r="T15" s="763">
        <f>'Arch Eng Cons Science'!T15+'Bio Ag Engineering '!T17+'Chemical '!T15+Civil!T15+'Computer Science'!T17+'Computer Science'!T20+'Electrical  Computer'!T16+'Industrial Manu'!T16+'Industrial Manu'!T22+'Industrial Manu'!T25+'Mechanical Nuclear'!T16+'Mechanical Nuclear'!T21</f>
        <v>242</v>
      </c>
      <c r="U15" s="881"/>
      <c r="V15" s="66"/>
      <c r="W15" s="66"/>
    </row>
    <row r="16" spans="1:23" x14ac:dyDescent="0.2">
      <c r="A16" s="695" t="s">
        <v>87</v>
      </c>
      <c r="B16" s="763">
        <f>'Bio Ag Engineering '!B18+'Chemical '!B16+Civil!B16+'Computer Science'!B18+'Electrical  Computer'!B17+'Industrial Manu'!B17+'Mechanical Nuclear'!B17+'Mechanical Nuclear'!B22</f>
        <v>116</v>
      </c>
      <c r="C16" s="761">
        <f>'Bio Ag Engineering '!C18+'Chemical '!C16+Civil!C16+'Computer Science'!C18+'Electrical  Computer'!C17+'Industrial Manu'!C17+'Mechanical Nuclear'!C17+'Mechanical Nuclear'!C22</f>
        <v>19</v>
      </c>
      <c r="D16" s="763">
        <f>'Bio Ag Engineering '!D18+'Chemical '!D16+Civil!D16+'Computer Science'!D18+'Electrical  Computer'!D17+'Industrial Manu'!D17+'Mechanical Nuclear'!D17+'Mechanical Nuclear'!D22</f>
        <v>133</v>
      </c>
      <c r="E16" s="761">
        <f>'Bio Ag Engineering '!E18+'Chemical '!E16+Civil!E16+'Computer Science'!E18+'Electrical  Computer'!E17+'Industrial Manu'!E17+'Mechanical Nuclear'!E17+'Mechanical Nuclear'!E22</f>
        <v>23</v>
      </c>
      <c r="F16" s="763">
        <f>'Bio Ag Engineering '!F18+'Chemical '!F16+Civil!F16+'Computer Science'!F18+'Electrical  Computer'!F17+'Industrial Manu'!F17+'Mechanical Nuclear'!F17+'Mechanical Nuclear'!F22</f>
        <v>123</v>
      </c>
      <c r="G16" s="761">
        <f>'Bio Ag Engineering '!G18+'Chemical '!G16+Civil!G16+'Computer Science'!G18+'Electrical  Computer'!G17+'Industrial Manu'!G17+'Mechanical Nuclear'!G17+'Mechanical Nuclear'!G22</f>
        <v>15</v>
      </c>
      <c r="H16" s="763">
        <f>'Bio Ag Engineering '!H18+'Chemical '!H16+Civil!H16+'Computer Science'!H18+'Electrical  Computer'!H17+'Industrial Manu'!H17+'Mechanical Nuclear'!H17+'Mechanical Nuclear'!H22</f>
        <v>150</v>
      </c>
      <c r="I16" s="761">
        <f>'Bio Ag Engineering '!I18+'Chemical '!I16+Civil!I16+'Computer Science'!I18+'Electrical  Computer'!I17+'Industrial Manu'!I17+'Mechanical Nuclear'!I17+'Mechanical Nuclear'!I22</f>
        <v>19</v>
      </c>
      <c r="J16" s="763">
        <f>'Bio Ag Engineering '!J18+'Chemical '!J16+Civil!J16+'Computer Science'!J18+'Electrical  Computer'!J17+'Industrial Manu'!J17+'Mechanical Nuclear'!J17+'Mechanical Nuclear'!J22</f>
        <v>160</v>
      </c>
      <c r="K16" s="761">
        <f>'Bio Ag Engineering '!K18+'Chemical '!K16+Civil!K16+'Computer Science'!K18+'Electrical  Computer'!K17+'Industrial Manu'!K17+'Mechanical Nuclear'!K17+'Mechanical Nuclear'!K22</f>
        <v>30</v>
      </c>
      <c r="L16" s="763">
        <f>'Bio Ag Engineering '!L18+'Chemical '!L16+Civil!L16+'Computer Science'!L18+'Electrical  Computer'!L17+'Industrial Manu'!L17+'Mechanical Nuclear'!L17+'Mechanical Nuclear'!L22</f>
        <v>163</v>
      </c>
      <c r="M16" s="761">
        <f>'Bio Ag Engineering '!M18+'Chemical '!M16+Civil!M16+'Computer Science'!M18+'Electrical  Computer'!M17+'Industrial Manu'!M17+'Mechanical Nuclear'!M17+'Mechanical Nuclear'!M22</f>
        <v>22</v>
      </c>
      <c r="N16" s="763">
        <f>'Bio Ag Engineering '!N18+'Chemical '!N16+Civil!N16+'Computer Science'!N18+'Electrical  Computer'!N17+'Industrial Manu'!N17+'Mechanical Nuclear'!N17+'Mechanical Nuclear'!N22</f>
        <v>165</v>
      </c>
      <c r="O16" s="761">
        <f>'Bio Ag Engineering '!O18+'Chemical '!O16+Civil!O16+'Computer Science'!O18+'Electrical  Computer'!O17+'Industrial Manu'!O17+'Mechanical Nuclear'!O17+'Mechanical Nuclear'!O22</f>
        <v>26</v>
      </c>
      <c r="P16" s="763">
        <f>'Bio Ag Engineering '!P18+'Chemical '!P16+Civil!P16+'Computer Science'!P18+'Electrical  Computer'!P17+'Industrial Manu'!P17+'Mechanical Nuclear'!P17+'Mechanical Nuclear'!P22</f>
        <v>164</v>
      </c>
      <c r="Q16" s="761">
        <f>'Bio Ag Engineering '!Q18+'Chemical '!Q16+Civil!Q16+'Computer Science'!Q18+'Electrical  Computer'!Q17+'Industrial Manu'!Q17+'Mechanical Nuclear'!Q17+'Mechanical Nuclear'!Q22</f>
        <v>29</v>
      </c>
      <c r="R16" s="763">
        <f>'Bio Ag Engineering '!R18+'Chemical '!R16+Civil!R16+'Computer Science'!R18+'Electrical  Computer'!R17+'Industrial Manu'!R17+'Mechanical Nuclear'!R17+'Mechanical Nuclear'!R22</f>
        <v>175</v>
      </c>
      <c r="S16" s="761">
        <f>'Bio Ag Engineering '!S18+'Chemical '!S16+Civil!S16+'Computer Science'!S18+'Electrical  Computer'!S17+'Industrial Manu'!S17+'Mechanical Nuclear'!S17+'Mechanical Nuclear'!S22</f>
        <v>29</v>
      </c>
      <c r="T16" s="763">
        <f>'Bio Ag Engineering '!T18+'Chemical '!T16+Civil!T16+'Computer Science'!T18+'Electrical  Computer'!T17+'Industrial Manu'!T17+'Mechanical Nuclear'!T17+'Mechanical Nuclear'!T22</f>
        <v>217</v>
      </c>
      <c r="U16" s="881"/>
      <c r="V16" s="66"/>
      <c r="W16" s="66"/>
    </row>
    <row r="17" spans="1:23" x14ac:dyDescent="0.2">
      <c r="A17" s="695" t="s">
        <v>128</v>
      </c>
      <c r="B17" s="763">
        <f>'Dean''s Office '!B14</f>
        <v>0</v>
      </c>
      <c r="C17" s="887" t="s">
        <v>129</v>
      </c>
      <c r="D17" s="763">
        <f>'Dean''s Office '!D14</f>
        <v>10</v>
      </c>
      <c r="E17" s="887" t="str">
        <f>'Dean''s Office '!E14</f>
        <v>xxxxx</v>
      </c>
      <c r="F17" s="763">
        <f>'Dean''s Office '!F14</f>
        <v>45</v>
      </c>
      <c r="G17" s="887" t="str">
        <f>'Dean''s Office '!G14</f>
        <v>xxxxx</v>
      </c>
      <c r="H17" s="763">
        <f>'Dean''s Office '!H14</f>
        <v>35</v>
      </c>
      <c r="I17" s="887" t="str">
        <f>'Dean''s Office '!I14</f>
        <v>xxxx</v>
      </c>
      <c r="J17" s="763">
        <f>'Dean''s Office '!J14</f>
        <v>24</v>
      </c>
      <c r="K17" s="887" t="str">
        <f>'Dean''s Office '!K14</f>
        <v>xxxx</v>
      </c>
      <c r="L17" s="763">
        <f>'Dean''s Office '!L14</f>
        <v>29</v>
      </c>
      <c r="M17" s="887" t="str">
        <f>'Dean''s Office '!M14</f>
        <v>xxxx</v>
      </c>
      <c r="N17" s="763">
        <f>'Dean''s Office '!N14</f>
        <v>32</v>
      </c>
      <c r="O17" s="887" t="str">
        <f>'Dean''s Office '!O14</f>
        <v>xxxx</v>
      </c>
      <c r="P17" s="763">
        <f>'Dean''s Office '!P14</f>
        <v>15</v>
      </c>
      <c r="Q17" s="887" t="str">
        <f>'Dean''s Office '!Q14</f>
        <v>xxxx</v>
      </c>
      <c r="R17" s="763">
        <f>'Dean''s Office '!R14</f>
        <v>15</v>
      </c>
      <c r="S17" s="887" t="str">
        <f>'Dean''s Office '!S14</f>
        <v>xxxx</v>
      </c>
      <c r="T17" s="763">
        <f>'Dean''s Office '!T14</f>
        <v>13</v>
      </c>
      <c r="U17" s="889" t="s">
        <v>130</v>
      </c>
      <c r="V17" s="66"/>
      <c r="W17" s="66"/>
    </row>
    <row r="18" spans="1:23" ht="13.5" thickBot="1" x14ac:dyDescent="0.25">
      <c r="A18" s="696" t="s">
        <v>179</v>
      </c>
      <c r="B18" s="764">
        <f>Civil!B17+Civil!B18+'Electrical  Computer'!B24+'Mechanical Nuclear'!B18</f>
        <v>0</v>
      </c>
      <c r="C18" s="761">
        <f>Civil!C17+Civil!C18+'Electrical  Computer'!C24+'Mechanical Nuclear'!C18</f>
        <v>0</v>
      </c>
      <c r="D18" s="764">
        <f>Civil!D17+Civil!D18+'Electrical  Computer'!D24+'Mechanical Nuclear'!D18</f>
        <v>0</v>
      </c>
      <c r="E18" s="761">
        <f>Civil!E17+Civil!E18+'Electrical  Computer'!E24+'Mechanical Nuclear'!E18</f>
        <v>0</v>
      </c>
      <c r="F18" s="764">
        <f>Civil!F17+Civil!F18+'Electrical  Computer'!F24+'Mechanical Nuclear'!F18</f>
        <v>0</v>
      </c>
      <c r="G18" s="761">
        <f>Civil!G17+Civil!G18+'Electrical  Computer'!G24+'Mechanical Nuclear'!G18+'Chemical '!G18</f>
        <v>1</v>
      </c>
      <c r="H18" s="764">
        <f>Civil!H17+Civil!H18+'Electrical  Computer'!H24+'Mechanical Nuclear'!H18</f>
        <v>0</v>
      </c>
      <c r="I18" s="761">
        <f>Civil!I17+Civil!I18+'Electrical  Computer'!I24+'Mechanical Nuclear'!I18+'Chemical '!I18</f>
        <v>0</v>
      </c>
      <c r="J18" s="764">
        <f>Civil!J17+Civil!J18+'Electrical  Computer'!J24+'Mechanical Nuclear'!J18</f>
        <v>2</v>
      </c>
      <c r="K18" s="761">
        <f>Civil!K17+Civil!K18+'Electrical  Computer'!K24+'Mechanical Nuclear'!K18+'Chemical '!K18</f>
        <v>2</v>
      </c>
      <c r="L18" s="764">
        <f>Civil!L17+Civil!L18+'Electrical  Computer'!L24+'Mechanical Nuclear'!L18</f>
        <v>1</v>
      </c>
      <c r="M18" s="761">
        <f>Civil!M17+Civil!M18+'Electrical  Computer'!M24+'Mechanical Nuclear'!M18+'Chemical '!M18</f>
        <v>0</v>
      </c>
      <c r="N18" s="764">
        <f>Civil!N17+Civil!N18+'Electrical  Computer'!N24+'Mechanical Nuclear'!N18</f>
        <v>0</v>
      </c>
      <c r="O18" s="761">
        <f>Civil!O17+Civil!O18+'Electrical  Computer'!O24+'Mechanical Nuclear'!O18+'Chemical '!O18</f>
        <v>2</v>
      </c>
      <c r="P18" s="764">
        <f>Civil!P17+Civil!P18+'Electrical  Computer'!P24+'Mechanical Nuclear'!P18</f>
        <v>0</v>
      </c>
      <c r="Q18" s="761">
        <f>Civil!Q17+Civil!Q18+'Electrical  Computer'!Q24+'Mechanical Nuclear'!Q18+'Chemical '!Q18</f>
        <v>1</v>
      </c>
      <c r="R18" s="764">
        <f>Civil!R17+Civil!R18+'Electrical  Computer'!R24+'Mechanical Nuclear'!R18</f>
        <v>0</v>
      </c>
      <c r="S18" s="761">
        <f>Civil!S17+Civil!S18+'Electrical  Computer'!S24+'Mechanical Nuclear'!S18+'Chemical '!S18</f>
        <v>1</v>
      </c>
      <c r="T18" s="764">
        <f>Civil!T17+Civil!T18+'Electrical  Computer'!T24+'Mechanical Nuclear'!T18</f>
        <v>0</v>
      </c>
      <c r="U18" s="881"/>
      <c r="V18" s="66"/>
      <c r="W18" s="66"/>
    </row>
    <row r="19" spans="1:23" ht="14.25" thickTop="1" thickBot="1" x14ac:dyDescent="0.25">
      <c r="A19" s="52" t="s">
        <v>68</v>
      </c>
      <c r="B19" s="697"/>
      <c r="C19" s="698"/>
      <c r="D19" s="697"/>
      <c r="E19" s="698"/>
      <c r="F19" s="697"/>
      <c r="G19" s="698"/>
      <c r="H19" s="697"/>
      <c r="I19" s="698"/>
      <c r="J19" s="697"/>
      <c r="K19" s="698"/>
      <c r="L19" s="697"/>
      <c r="M19" s="698"/>
      <c r="N19" s="697"/>
      <c r="O19" s="698"/>
      <c r="P19" s="697"/>
      <c r="Q19" s="698"/>
      <c r="R19" s="697"/>
      <c r="S19" s="698"/>
      <c r="T19" s="697"/>
      <c r="U19" s="699"/>
      <c r="V19" s="66"/>
      <c r="W19" s="66"/>
    </row>
    <row r="20" spans="1:23" x14ac:dyDescent="0.2">
      <c r="A20" s="700" t="s">
        <v>75</v>
      </c>
      <c r="B20" s="701"/>
      <c r="C20" s="702"/>
      <c r="D20" s="701"/>
      <c r="E20" s="702"/>
      <c r="F20" s="701"/>
      <c r="G20" s="702"/>
      <c r="H20" s="701"/>
      <c r="I20" s="702"/>
      <c r="J20" s="701"/>
      <c r="K20" s="702"/>
      <c r="L20" s="701"/>
      <c r="M20" s="702"/>
      <c r="N20" s="701"/>
      <c r="O20" s="702"/>
      <c r="P20" s="701"/>
      <c r="Q20" s="702"/>
      <c r="R20" s="701"/>
      <c r="S20" s="702"/>
      <c r="T20" s="701"/>
      <c r="U20" s="703"/>
      <c r="V20" s="66"/>
      <c r="W20" s="66"/>
    </row>
    <row r="21" spans="1:23" x14ac:dyDescent="0.2">
      <c r="A21" s="704" t="s">
        <v>69</v>
      </c>
      <c r="B21" s="705"/>
      <c r="C21" s="878"/>
      <c r="D21" s="705"/>
      <c r="E21" s="706">
        <v>0.79</v>
      </c>
      <c r="F21" s="705"/>
      <c r="G21" s="706">
        <v>0.78</v>
      </c>
      <c r="H21" s="705"/>
      <c r="I21" s="706">
        <v>0.81</v>
      </c>
      <c r="J21" s="705"/>
      <c r="K21" s="706">
        <v>0.83</v>
      </c>
      <c r="L21" s="705"/>
      <c r="M21" s="706">
        <v>0.84</v>
      </c>
      <c r="N21" s="705"/>
      <c r="O21" s="706">
        <v>0.86</v>
      </c>
      <c r="P21" s="705"/>
      <c r="Q21" s="706">
        <v>0.84</v>
      </c>
      <c r="R21" s="705"/>
      <c r="S21" s="878"/>
      <c r="T21" s="705"/>
      <c r="U21" s="886"/>
      <c r="V21" s="66"/>
      <c r="W21" s="66"/>
    </row>
    <row r="22" spans="1:23" x14ac:dyDescent="0.2">
      <c r="A22" s="534" t="s">
        <v>180</v>
      </c>
      <c r="B22" s="705"/>
      <c r="C22" s="879"/>
      <c r="D22" s="705"/>
      <c r="E22" s="708">
        <v>0.15</v>
      </c>
      <c r="F22" s="705"/>
      <c r="G22" s="708">
        <v>0.13</v>
      </c>
      <c r="H22" s="705"/>
      <c r="I22" s="708">
        <v>0.12</v>
      </c>
      <c r="J22" s="705"/>
      <c r="K22" s="708">
        <v>0.11</v>
      </c>
      <c r="L22" s="705"/>
      <c r="M22" s="708">
        <v>0.1</v>
      </c>
      <c r="N22" s="705"/>
      <c r="O22" s="708">
        <v>0.1</v>
      </c>
      <c r="P22" s="705"/>
      <c r="Q22" s="708">
        <v>0.11</v>
      </c>
      <c r="R22" s="705"/>
      <c r="S22" s="879"/>
      <c r="T22" s="705"/>
      <c r="U22" s="886"/>
      <c r="V22" s="66"/>
      <c r="W22" s="66"/>
    </row>
    <row r="23" spans="1:23" ht="13.5" thickBot="1" x14ac:dyDescent="0.25">
      <c r="A23" s="709" t="s">
        <v>72</v>
      </c>
      <c r="B23" s="710"/>
      <c r="C23" s="711"/>
      <c r="D23" s="710"/>
      <c r="E23" s="711"/>
      <c r="F23" s="710"/>
      <c r="G23" s="711"/>
      <c r="H23" s="710"/>
      <c r="I23" s="711"/>
      <c r="J23" s="710"/>
      <c r="K23" s="711"/>
      <c r="L23" s="710"/>
      <c r="M23" s="711"/>
      <c r="N23" s="710"/>
      <c r="O23" s="711"/>
      <c r="P23" s="710"/>
      <c r="Q23" s="711"/>
      <c r="R23" s="710"/>
      <c r="S23" s="711"/>
      <c r="T23" s="710"/>
      <c r="U23" s="712"/>
      <c r="V23" s="66"/>
      <c r="W23" s="66"/>
    </row>
    <row r="24" spans="1:23" ht="14.25" thickTop="1" thickBot="1" x14ac:dyDescent="0.25">
      <c r="A24" s="63" t="s">
        <v>21</v>
      </c>
      <c r="B24" s="697"/>
      <c r="C24" s="698"/>
      <c r="D24" s="697"/>
      <c r="E24" s="698"/>
      <c r="F24" s="697"/>
      <c r="G24" s="698"/>
      <c r="H24" s="697"/>
      <c r="I24" s="698"/>
      <c r="J24" s="697"/>
      <c r="K24" s="698"/>
      <c r="L24" s="697"/>
      <c r="M24" s="698"/>
      <c r="N24" s="697"/>
      <c r="O24" s="698"/>
      <c r="P24" s="697"/>
      <c r="Q24" s="698"/>
      <c r="R24" s="697"/>
      <c r="S24" s="698"/>
      <c r="T24" s="697"/>
      <c r="U24" s="699"/>
      <c r="V24" s="66"/>
      <c r="W24" s="66"/>
    </row>
    <row r="25" spans="1:23" x14ac:dyDescent="0.2">
      <c r="A25" s="463" t="s">
        <v>22</v>
      </c>
      <c r="B25" s="713"/>
      <c r="C25" s="714">
        <f>'Arch Eng Cons Science'!C30+'Bio Ag Engineering '!C27+'Dean''s Office '!C16+'Chemical '!C27+Civil!C27+'Computer Science'!C36+'Electrical  Computer'!C36+'Industrial Manu'!C34+'Mechanical Nuclear'!C31</f>
        <v>11803</v>
      </c>
      <c r="D25" s="713"/>
      <c r="E25" s="714">
        <f>'Arch Eng Cons Science'!E30+'Bio Ag Engineering '!E27+'Dean''s Office '!E16+'Chemical '!E27+Civil!E27+'Computer Science'!E36+'Electrical  Computer'!E36+'Industrial Manu'!E34+'Mechanical Nuclear'!E31</f>
        <v>11894</v>
      </c>
      <c r="F25" s="713"/>
      <c r="G25" s="714">
        <f>'Arch Eng Cons Science'!G30+'Bio Ag Engineering '!G27+'Dean''s Office '!G16+'Chemical '!G27+Civil!G27+'Computer Science'!G36+'Electrical  Computer'!G36+'Industrial Manu'!G34+'Mechanical Nuclear'!G31</f>
        <v>12319</v>
      </c>
      <c r="H25" s="713"/>
      <c r="I25" s="714">
        <f>'Arch Eng Cons Science'!I30+'Bio Ag Engineering '!I27+'Dean''s Office '!I16+'Chemical '!I27+Civil!I27+'Computer Science'!I36+'Electrical  Computer'!I36+'Industrial Manu'!I34+'Mechanical Nuclear'!I31</f>
        <v>12025</v>
      </c>
      <c r="J25" s="713"/>
      <c r="K25" s="714">
        <f>'Arch Eng Cons Science'!K30+'Bio Ag Engineering '!K27+'Dean''s Office '!K16+'Chemical '!K27+Civil!K27+'Computer Science'!K36+'Electrical  Computer'!K36+'Industrial Manu'!K34+'Mechanical Nuclear'!K31</f>
        <v>10981</v>
      </c>
      <c r="L25" s="713"/>
      <c r="M25" s="714">
        <f>'Arch Eng Cons Science'!M30+'Bio Ag Engineering '!M27+'Dean''s Office '!M16+'Chemical '!M27+Civil!M27+'Computer Science'!M36+'Electrical  Computer'!M36+'Industrial Manu'!M34+'Mechanical Nuclear'!M31</f>
        <v>10419</v>
      </c>
      <c r="N25" s="713"/>
      <c r="O25" s="714">
        <f>'Arch Eng Cons Science'!O30+'Bio Ag Engineering '!O27+'Dean''s Office '!O16+'Chemical '!O27+Civil!O27+'Computer Science'!O36+'Electrical  Computer'!O36+'Industrial Manu'!O34+'Mechanical Nuclear'!O31</f>
        <v>11289</v>
      </c>
      <c r="P25" s="713"/>
      <c r="Q25" s="714">
        <f>'Arch Eng Cons Science'!Q30+'Bio Ag Engineering '!Q27+'Dean''s Office '!Q16+'Chemical '!Q27+Civil!Q27+'Computer Science'!Q36+'Electrical  Computer'!Q36+'Industrial Manu'!Q34+'Mechanical Nuclear'!Q31</f>
        <v>11468</v>
      </c>
      <c r="R25" s="713"/>
      <c r="S25" s="714">
        <f>'Arch Eng Cons Science'!S30+'Bio Ag Engineering '!S27+'Dean''s Office '!S16+'Chemical '!S27+Civil!S27+'Computer Science'!S36+'Electrical  Computer'!S36+'Industrial Manu'!S34+'Mechanical Nuclear'!S31</f>
        <v>12131</v>
      </c>
      <c r="T25" s="713"/>
      <c r="U25" s="882">
        <f>'Arch Eng Cons Science'!U30+'Bio Ag Engineering '!U27+'Dean''s Office '!U16+'Chemical '!U27+Civil!U27+'Computer Science'!U36+'Electrical  Computer'!U36+'Industrial Manu'!U34+'Mechanical Nuclear'!U31</f>
        <v>0</v>
      </c>
      <c r="V25" s="66"/>
      <c r="W25" s="66"/>
    </row>
    <row r="26" spans="1:23" x14ac:dyDescent="0.2">
      <c r="A26" s="463" t="s">
        <v>23</v>
      </c>
      <c r="B26" s="705"/>
      <c r="C26" s="765">
        <f>'Arch Eng Cons Science'!C31+'Bio Ag Engineering '!C28+'Dean''s Office '!C17+'Chemical '!C28+Civil!C28+'Computer Science'!C37+'Electrical  Computer'!C37+'Industrial Manu'!C35+'Mechanical Nuclear'!C32</f>
        <v>29122</v>
      </c>
      <c r="D26" s="705"/>
      <c r="E26" s="765">
        <f>'Arch Eng Cons Science'!E31+'Bio Ag Engineering '!E28+'Dean''s Office '!E17+'Chemical '!E28+Civil!E28+'Computer Science'!E37+'Electrical  Computer'!E37+'Industrial Manu'!E35+'Mechanical Nuclear'!E32</f>
        <v>28596</v>
      </c>
      <c r="F26" s="705"/>
      <c r="G26" s="765">
        <f>'Arch Eng Cons Science'!G31+'Bio Ag Engineering '!G28+'Dean''s Office '!G17+'Chemical '!G28+Civil!G28+'Computer Science'!G37+'Electrical  Computer'!G37+'Industrial Manu'!G35+'Mechanical Nuclear'!G32</f>
        <v>30279</v>
      </c>
      <c r="H26" s="705"/>
      <c r="I26" s="765">
        <f>'Arch Eng Cons Science'!I31+'Bio Ag Engineering '!I28+'Dean''s Office '!I17+'Chemical '!I28+Civil!I28+'Computer Science'!I37+'Electrical  Computer'!I37+'Industrial Manu'!I35+'Mechanical Nuclear'!I32</f>
        <v>32030</v>
      </c>
      <c r="J26" s="705"/>
      <c r="K26" s="765">
        <f>'Arch Eng Cons Science'!K31+'Bio Ag Engineering '!K28+'Dean''s Office '!K17+'Chemical '!K28+Civil!K28+'Computer Science'!K37+'Electrical  Computer'!K37+'Industrial Manu'!K35+'Mechanical Nuclear'!K32</f>
        <v>32931</v>
      </c>
      <c r="L26" s="705"/>
      <c r="M26" s="765">
        <f>'Arch Eng Cons Science'!M31+'Bio Ag Engineering '!M28+'Dean''s Office '!M17+'Chemical '!M28+Civil!M28+'Computer Science'!M37+'Electrical  Computer'!M37+'Industrial Manu'!M35+'Mechanical Nuclear'!M32</f>
        <v>33239</v>
      </c>
      <c r="N26" s="705"/>
      <c r="O26" s="765">
        <f>'Arch Eng Cons Science'!O31+'Bio Ag Engineering '!O28+'Dean''s Office '!O17+'Chemical '!O28+Civil!O28+'Computer Science'!O37+'Electrical  Computer'!O37+'Industrial Manu'!O35+'Mechanical Nuclear'!O32</f>
        <v>33518</v>
      </c>
      <c r="P26" s="705"/>
      <c r="Q26" s="765">
        <f>'Arch Eng Cons Science'!Q31+'Bio Ag Engineering '!Q28+'Dean''s Office '!Q17+'Chemical '!Q28+Civil!Q28+'Computer Science'!Q37+'Electrical  Computer'!Q37+'Industrial Manu'!Q35+'Mechanical Nuclear'!Q32</f>
        <v>34697</v>
      </c>
      <c r="R26" s="705"/>
      <c r="S26" s="765">
        <f>'Arch Eng Cons Science'!S31+'Bio Ag Engineering '!S28+'Dean''s Office '!S17+'Chemical '!S28+Civil!S28+'Computer Science'!S37+'Electrical  Computer'!S37+'Industrial Manu'!S35+'Mechanical Nuclear'!S32</f>
        <v>37403</v>
      </c>
      <c r="T26" s="705"/>
      <c r="U26" s="883">
        <f>'Arch Eng Cons Science'!U31+'Bio Ag Engineering '!U28+'Dean''s Office '!U17+'Chemical '!U28+Civil!U28+'Computer Science'!U37+'Electrical  Computer'!U37+'Industrial Manu'!U35+'Mechanical Nuclear'!U32</f>
        <v>0</v>
      </c>
      <c r="V26" s="66"/>
      <c r="W26" s="66"/>
    </row>
    <row r="27" spans="1:23" x14ac:dyDescent="0.2">
      <c r="A27" s="463" t="s">
        <v>24</v>
      </c>
      <c r="B27" s="705"/>
      <c r="C27" s="765">
        <f>'Arch Eng Cons Science'!C32+'Bio Ag Engineering '!C29+'Dean''s Office '!C18+'Chemical '!C29+Civil!C29+'Computer Science'!C38+'Electrical  Computer'!C38+'Industrial Manu'!C36+'Mechanical Nuclear'!C33</f>
        <v>5317</v>
      </c>
      <c r="D27" s="705"/>
      <c r="E27" s="765">
        <f>'Arch Eng Cons Science'!E32+'Bio Ag Engineering '!E29+'Dean''s Office '!E18+'Chemical '!E29+Civil!E29+'Computer Science'!E38+'Electrical  Computer'!E38+'Industrial Manu'!E36+'Mechanical Nuclear'!E33</f>
        <v>5599</v>
      </c>
      <c r="F27" s="705"/>
      <c r="G27" s="765">
        <f>'Arch Eng Cons Science'!G32+'Bio Ag Engineering '!G29+'Dean''s Office '!G18+'Chemical '!G29+Civil!G29+'Computer Science'!G38+'Electrical  Computer'!G38+'Industrial Manu'!G36+'Mechanical Nuclear'!G33</f>
        <v>5700</v>
      </c>
      <c r="H27" s="705"/>
      <c r="I27" s="765">
        <f>'Arch Eng Cons Science'!I32+'Bio Ag Engineering '!I29+'Dean''s Office '!I18+'Chemical '!I29+Civil!I29+'Computer Science'!I38+'Electrical  Computer'!I38+'Industrial Manu'!I36+'Mechanical Nuclear'!I33</f>
        <v>5529</v>
      </c>
      <c r="J27" s="705"/>
      <c r="K27" s="765">
        <f>'Arch Eng Cons Science'!K32+'Bio Ag Engineering '!K29+'Dean''s Office '!K18+'Chemical '!K29+Civil!K29+'Computer Science'!K38+'Electrical  Computer'!K38+'Industrial Manu'!K36+'Mechanical Nuclear'!K33</f>
        <v>5268</v>
      </c>
      <c r="L27" s="705"/>
      <c r="M27" s="765">
        <f>'Arch Eng Cons Science'!M32+'Bio Ag Engineering '!M29+'Dean''s Office '!M18+'Chemical '!M29+Civil!M29+'Computer Science'!M38+'Electrical  Computer'!M38+'Industrial Manu'!M36+'Mechanical Nuclear'!M33</f>
        <v>4686</v>
      </c>
      <c r="N27" s="705"/>
      <c r="O27" s="765">
        <f>'Arch Eng Cons Science'!O32+'Bio Ag Engineering '!O29+'Dean''s Office '!O18+'Chemical '!O29+Civil!O29+'Computer Science'!O38+'Electrical  Computer'!O38+'Industrial Manu'!O36+'Mechanical Nuclear'!O33</f>
        <v>4766</v>
      </c>
      <c r="P27" s="705"/>
      <c r="Q27" s="765">
        <f>'Arch Eng Cons Science'!Q32+'Bio Ag Engineering '!Q29+'Dean''s Office '!Q18+'Chemical '!Q29+Civil!Q29+'Computer Science'!Q38+'Electrical  Computer'!Q38+'Industrial Manu'!Q36+'Mechanical Nuclear'!Q33</f>
        <v>4530</v>
      </c>
      <c r="R27" s="705"/>
      <c r="S27" s="765">
        <f>'Arch Eng Cons Science'!S32+'Bio Ag Engineering '!S29+'Dean''s Office '!S18+'Chemical '!S29+Civil!S29+'Computer Science'!S38+'Electrical  Computer'!S38+'Industrial Manu'!S36+'Mechanical Nuclear'!S33</f>
        <v>4504</v>
      </c>
      <c r="T27" s="705"/>
      <c r="U27" s="883">
        <f>'Arch Eng Cons Science'!U32+'Bio Ag Engineering '!U29+'Dean''s Office '!U18+'Chemical '!U29+Civil!U29+'Computer Science'!U38+'Electrical  Computer'!U38+'Industrial Manu'!U36+'Mechanical Nuclear'!U33</f>
        <v>0</v>
      </c>
      <c r="V27" s="66"/>
      <c r="W27" s="66"/>
    </row>
    <row r="28" spans="1:23" ht="13.5" thickBot="1" x14ac:dyDescent="0.25">
      <c r="A28" s="610" t="s">
        <v>25</v>
      </c>
      <c r="B28" s="766"/>
      <c r="C28" s="767">
        <f>'Arch Eng Cons Science'!C33+'Bio Ag Engineering '!C30+'Dean''s Office '!C19+'Chemical '!C30+Civil!C30+'Computer Science'!C39+'Electrical  Computer'!C39+'Industrial Manu'!C37+'Mechanical Nuclear'!C34</f>
        <v>1162</v>
      </c>
      <c r="D28" s="766"/>
      <c r="E28" s="767">
        <f>'Arch Eng Cons Science'!E33+'Bio Ag Engineering '!E30+'Dean''s Office '!E19+'Chemical '!E30+Civil!E30+'Computer Science'!E39+'Electrical  Computer'!E39+'Industrial Manu'!E37+'Mechanical Nuclear'!E34</f>
        <v>1220</v>
      </c>
      <c r="F28" s="766"/>
      <c r="G28" s="767">
        <f>'Arch Eng Cons Science'!G33+'Bio Ag Engineering '!G30+'Dean''s Office '!G19+'Chemical '!G30+Civil!G30+'Computer Science'!G39+'Electrical  Computer'!G39+'Industrial Manu'!G37+'Mechanical Nuclear'!G34</f>
        <v>1130</v>
      </c>
      <c r="H28" s="766"/>
      <c r="I28" s="767">
        <f>'Arch Eng Cons Science'!I33+'Bio Ag Engineering '!I30+'Dean''s Office '!I19+'Chemical '!I30+Civil!I30+'Computer Science'!I39+'Electrical  Computer'!I39+'Industrial Manu'!I37+'Mechanical Nuclear'!I34</f>
        <v>1450</v>
      </c>
      <c r="J28" s="766"/>
      <c r="K28" s="767">
        <f>'Arch Eng Cons Science'!K33+'Bio Ag Engineering '!K30+'Dean''s Office '!K19+'Chemical '!K30+Civil!K30+'Computer Science'!K39+'Electrical  Computer'!K39+'Industrial Manu'!K37+'Mechanical Nuclear'!K34</f>
        <v>1384</v>
      </c>
      <c r="L28" s="766"/>
      <c r="M28" s="767">
        <f>'Arch Eng Cons Science'!M33+'Bio Ag Engineering '!M30+'Dean''s Office '!M19+'Chemical '!M30+Civil!M30+'Computer Science'!M39+'Electrical  Computer'!M39+'Industrial Manu'!M37+'Mechanical Nuclear'!M34</f>
        <v>1613</v>
      </c>
      <c r="N28" s="766"/>
      <c r="O28" s="767">
        <f>'Arch Eng Cons Science'!O33+'Bio Ag Engineering '!O30+'Dean''s Office '!O19+'Chemical '!O30+Civil!O30+'Computer Science'!O39+'Electrical  Computer'!O39+'Industrial Manu'!O37+'Mechanical Nuclear'!O34</f>
        <v>1677</v>
      </c>
      <c r="P28" s="766"/>
      <c r="Q28" s="767">
        <f>'Arch Eng Cons Science'!Q33+'Bio Ag Engineering '!Q30+'Dean''s Office '!Q19+'Chemical '!Q30+Civil!Q30+'Computer Science'!Q39+'Electrical  Computer'!Q39+'Industrial Manu'!Q37+'Mechanical Nuclear'!Q34</f>
        <v>1647</v>
      </c>
      <c r="R28" s="766"/>
      <c r="S28" s="767">
        <f>'Arch Eng Cons Science'!S33+'Bio Ag Engineering '!S30+'Dean''s Office '!S19+'Chemical '!S30+Civil!S30+'Computer Science'!S39+'Electrical  Computer'!S39+'Industrial Manu'!S37+'Mechanical Nuclear'!S34</f>
        <v>1548</v>
      </c>
      <c r="T28" s="766"/>
      <c r="U28" s="884">
        <f>'Arch Eng Cons Science'!U33+'Bio Ag Engineering '!U30+'Dean''s Office '!U19+'Chemical '!U30+Civil!U30+'Computer Science'!U39+'Electrical  Computer'!U39+'Industrial Manu'!U37+'Mechanical Nuclear'!U34</f>
        <v>0</v>
      </c>
      <c r="V28" s="66"/>
      <c r="W28" s="66"/>
    </row>
    <row r="29" spans="1:23" ht="13.5" thickBot="1" x14ac:dyDescent="0.25">
      <c r="A29" s="717" t="s">
        <v>26</v>
      </c>
      <c r="B29" s="718"/>
      <c r="C29" s="719">
        <f>SUM(C25:C28)</f>
        <v>47404</v>
      </c>
      <c r="D29" s="718"/>
      <c r="E29" s="719">
        <f>SUM(E25:E28)</f>
        <v>47309</v>
      </c>
      <c r="F29" s="718"/>
      <c r="G29" s="719">
        <f>SUM(G25:G28)</f>
        <v>49428</v>
      </c>
      <c r="H29" s="718"/>
      <c r="I29" s="719">
        <f>SUM(I25:I28)</f>
        <v>51034</v>
      </c>
      <c r="J29" s="718"/>
      <c r="K29" s="719">
        <f>SUM(K25:K28)</f>
        <v>50564</v>
      </c>
      <c r="L29" s="718"/>
      <c r="M29" s="719">
        <f>SUM(M25:M28)</f>
        <v>49957</v>
      </c>
      <c r="N29" s="718"/>
      <c r="O29" s="719">
        <f>SUM(O25:O28)</f>
        <v>51250</v>
      </c>
      <c r="P29" s="718"/>
      <c r="Q29" s="719">
        <f>SUM(Q25:Q28)</f>
        <v>52342</v>
      </c>
      <c r="R29" s="718"/>
      <c r="S29" s="719">
        <f>SUM(S25:S28)</f>
        <v>55586</v>
      </c>
      <c r="T29" s="768"/>
      <c r="U29" s="885">
        <f>SUM(U25:U28)</f>
        <v>0</v>
      </c>
      <c r="V29" s="720"/>
      <c r="W29" s="66"/>
    </row>
    <row r="30" spans="1:23" ht="14.25" thickTop="1" thickBot="1" x14ac:dyDescent="0.25">
      <c r="A30" s="43"/>
      <c r="T30" s="66"/>
      <c r="U30" s="769"/>
      <c r="V30" s="66"/>
      <c r="W30" s="66"/>
    </row>
    <row r="31" spans="1:23" ht="14.25" thickTop="1" thickBot="1" x14ac:dyDescent="0.25">
      <c r="A31" s="230" t="s">
        <v>65</v>
      </c>
      <c r="B31" s="608" t="s">
        <v>37</v>
      </c>
      <c r="C31" s="721" t="s">
        <v>71</v>
      </c>
      <c r="D31" s="608" t="s">
        <v>37</v>
      </c>
      <c r="E31" s="721" t="s">
        <v>71</v>
      </c>
      <c r="F31" s="722" t="s">
        <v>37</v>
      </c>
      <c r="G31" s="609" t="s">
        <v>71</v>
      </c>
      <c r="H31" s="608" t="s">
        <v>37</v>
      </c>
      <c r="I31" s="721" t="s">
        <v>71</v>
      </c>
      <c r="J31" s="722" t="s">
        <v>37</v>
      </c>
      <c r="K31" s="609" t="s">
        <v>71</v>
      </c>
      <c r="L31" s="608" t="s">
        <v>37</v>
      </c>
      <c r="M31" s="721" t="s">
        <v>71</v>
      </c>
      <c r="N31" s="722" t="s">
        <v>37</v>
      </c>
      <c r="O31" s="609" t="s">
        <v>71</v>
      </c>
      <c r="P31" s="608" t="s">
        <v>37</v>
      </c>
      <c r="Q31" s="721" t="s">
        <v>71</v>
      </c>
      <c r="R31" s="722" t="s">
        <v>37</v>
      </c>
      <c r="S31" s="609" t="s">
        <v>71</v>
      </c>
      <c r="T31" s="722" t="s">
        <v>37</v>
      </c>
      <c r="U31" s="607" t="s">
        <v>71</v>
      </c>
      <c r="V31" s="723"/>
      <c r="W31" s="66"/>
    </row>
    <row r="32" spans="1:23" x14ac:dyDescent="0.2">
      <c r="A32" s="499" t="s">
        <v>66</v>
      </c>
      <c r="B32" s="795"/>
      <c r="C32" s="796"/>
      <c r="D32" s="795"/>
      <c r="E32" s="796"/>
      <c r="F32" s="797"/>
      <c r="G32" s="798"/>
      <c r="H32" s="715">
        <f>'Arch Eng Cons Science'!H41+'Bio Ag Engineering '!H38+'Chemical '!H38+Civil!H38+'Computer Science'!H47+'Computer Science'!H48+'Electrical  Computer'!H47+'Industrial Manu'!H45+'Industrial Manu'!H46+'Industrial Manu'!H47+'Mechanical Nuclear'!H42+'Mechanical Nuclear'!H43</f>
        <v>104</v>
      </c>
      <c r="I32" s="724">
        <f>H32/H15</f>
        <v>0.28969359331476324</v>
      </c>
      <c r="J32" s="715">
        <f>'Arch Eng Cons Science'!J41+'Bio Ag Engineering '!J38+'Chemical '!J38+Civil!J38+'Computer Science'!J47+'Computer Science'!J48+'Electrical  Computer'!J47+'Industrial Manu'!J45+'Industrial Manu'!J46+'Industrial Manu'!J47+'Mechanical Nuclear'!J42+'Mechanical Nuclear'!J43</f>
        <v>95</v>
      </c>
      <c r="K32" s="724">
        <f>J32/J15</f>
        <v>0.27696793002915454</v>
      </c>
      <c r="L32" s="715">
        <f>'Arch Eng Cons Science'!L41+'Bio Ag Engineering '!L38+'Chemical '!L38+Civil!L38+'Computer Science'!L47+'Computer Science'!L48+'Electrical  Computer'!L47+'Industrial Manu'!L45+'Industrial Manu'!L46+'Industrial Manu'!L47+'Mechanical Nuclear'!L42+'Mechanical Nuclear'!L43</f>
        <v>69</v>
      </c>
      <c r="M32" s="724">
        <f>L32/L15</f>
        <v>0.24125874125874125</v>
      </c>
      <c r="N32" s="715">
        <f>'Arch Eng Cons Science'!N41+'Bio Ag Engineering '!N38+'Chemical '!N38+Civil!N38+'Computer Science'!N47+'Computer Science'!N48+'Electrical  Computer'!N47+'Industrial Manu'!N45+'Industrial Manu'!N46+'Industrial Manu'!N47+'Mechanical Nuclear'!N42+'Mechanical Nuclear'!N43</f>
        <v>69</v>
      </c>
      <c r="O32" s="724">
        <f>N32/N15</f>
        <v>0.23875432525951557</v>
      </c>
      <c r="P32" s="715">
        <f>'Arch Eng Cons Science'!P41+'Bio Ag Engineering '!P38+'Chemical '!P38+Civil!P38+'Computer Science'!P47+'Computer Science'!P48+'Electrical  Computer'!P47+'Industrial Manu'!P45+'Industrial Manu'!P46+'Industrial Manu'!P47+'Mechanical Nuclear'!P42+'Mechanical Nuclear'!P43</f>
        <v>76</v>
      </c>
      <c r="Q32" s="724">
        <f>P32/P15</f>
        <v>0.24675324675324675</v>
      </c>
      <c r="R32" s="715">
        <f>'Arch Eng Cons Science'!R41+'Bio Ag Engineering '!R38+'Chemical '!R38+Civil!R38+'Computer Science'!R47+'Computer Science'!R48+'Electrical  Computer'!R47+'Industrial Manu'!R45+'Industrial Manu'!R46+'Industrial Manu'!R47+'Mechanical Nuclear'!R42+'Mechanical Nuclear'!R43</f>
        <v>82</v>
      </c>
      <c r="S32" s="724">
        <f>R32/R15</f>
        <v>0.27891156462585032</v>
      </c>
      <c r="T32" s="715">
        <f>'Arch Eng Cons Science'!T41+'Bio Ag Engineering '!T38+'Chemical '!T38+Civil!T38+'Computer Science'!T47+'Computer Science'!T48+'Electrical  Computer'!T47+'Industrial Manu'!T45+'Industrial Manu'!T46+'Industrial Manu'!T47+'Mechanical Nuclear'!T42+'Mechanical Nuclear'!T43</f>
        <v>0</v>
      </c>
      <c r="U32" s="725">
        <f>T32/T15</f>
        <v>0</v>
      </c>
      <c r="V32" s="66"/>
      <c r="W32" s="66"/>
    </row>
    <row r="33" spans="1:23" ht="13.5" thickBot="1" x14ac:dyDescent="0.25">
      <c r="A33" s="502" t="s">
        <v>67</v>
      </c>
      <c r="B33" s="799"/>
      <c r="C33" s="800"/>
      <c r="D33" s="799"/>
      <c r="E33" s="800"/>
      <c r="F33" s="799"/>
      <c r="G33" s="800"/>
      <c r="H33" s="728">
        <f>'Bio Ag Engineering '!H39+Civil!H39+'Chemical '!H39+'Computer Science'!H49+'Electrical  Computer'!H48+'Industrial Manu'!H48+'Mechanical Nuclear'!H45+'Mechanical Nuclear'!H44</f>
        <v>121</v>
      </c>
      <c r="I33" s="727">
        <f>H33/H16</f>
        <v>0.80666666666666664</v>
      </c>
      <c r="J33" s="728">
        <f>'Bio Ag Engineering '!J39+Civil!J39+'Chemical '!J39+'Computer Science'!J49+'Electrical  Computer'!J48+'Industrial Manu'!J48+'Mechanical Nuclear'!J45+'Mechanical Nuclear'!J44</f>
        <v>122</v>
      </c>
      <c r="K33" s="727">
        <f>J33/J16</f>
        <v>0.76249999999999996</v>
      </c>
      <c r="L33" s="728">
        <f>'Bio Ag Engineering '!L39+Civil!L39+'Chemical '!L39+'Computer Science'!L49+'Electrical  Computer'!L48+'Industrial Manu'!L48+'Mechanical Nuclear'!L45+'Mechanical Nuclear'!L44</f>
        <v>135</v>
      </c>
      <c r="M33" s="727">
        <f>L33/L16</f>
        <v>0.82822085889570551</v>
      </c>
      <c r="N33" s="728">
        <f>'Bio Ag Engineering '!N39+Civil!N39+'Chemical '!N39+'Computer Science'!N49+'Electrical  Computer'!N48+'Industrial Manu'!N48+'Mechanical Nuclear'!N45+'Mechanical Nuclear'!N44</f>
        <v>130</v>
      </c>
      <c r="O33" s="727">
        <f>N33/N16</f>
        <v>0.78787878787878785</v>
      </c>
      <c r="P33" s="728">
        <f>'Bio Ag Engineering '!P39+Civil!P39+'Chemical '!P39+'Computer Science'!P49+'Electrical  Computer'!P48+'Industrial Manu'!P48+'Mechanical Nuclear'!P45+'Mechanical Nuclear'!P44</f>
        <v>119</v>
      </c>
      <c r="Q33" s="727">
        <f>P33/P16</f>
        <v>0.72560975609756095</v>
      </c>
      <c r="R33" s="728">
        <f>'Bio Ag Engineering '!R39+Civil!R39+'Chemical '!R39+'Computer Science'!R49+'Electrical  Computer'!R48+'Industrial Manu'!R48+'Mechanical Nuclear'!R45+'Mechanical Nuclear'!R44</f>
        <v>134</v>
      </c>
      <c r="S33" s="727">
        <f>R33/R16</f>
        <v>0.76571428571428568</v>
      </c>
      <c r="T33" s="728">
        <f>'Bio Ag Engineering '!T39+Civil!T39+'Chemical '!T39+'Computer Science'!T49+'Electrical  Computer'!T48+'Industrial Manu'!T48+'Mechanical Nuclear'!T45+'Mechanical Nuclear'!T44</f>
        <v>0</v>
      </c>
      <c r="U33" s="729">
        <f>T33/T16</f>
        <v>0</v>
      </c>
      <c r="V33" s="66"/>
      <c r="W33" s="66"/>
    </row>
    <row r="34" spans="1:23" ht="13.5" thickTop="1" x14ac:dyDescent="0.2">
      <c r="V34" s="66"/>
      <c r="W34" s="66"/>
    </row>
    <row r="35" spans="1:23" ht="13.5" thickBot="1" x14ac:dyDescent="0.25">
      <c r="V35" s="66"/>
      <c r="W35" s="66"/>
    </row>
    <row r="36" spans="1:23" ht="14.25" thickTop="1" thickBot="1" x14ac:dyDescent="0.25">
      <c r="A36" s="730" t="s">
        <v>161</v>
      </c>
      <c r="B36" s="955" t="s">
        <v>28</v>
      </c>
      <c r="C36" s="956"/>
      <c r="D36" s="955" t="s">
        <v>29</v>
      </c>
      <c r="E36" s="956"/>
      <c r="F36" s="955" t="s">
        <v>30</v>
      </c>
      <c r="G36" s="956"/>
      <c r="H36" s="955" t="s">
        <v>31</v>
      </c>
      <c r="I36" s="956"/>
      <c r="J36" s="955" t="s">
        <v>32</v>
      </c>
      <c r="K36" s="956"/>
      <c r="L36" s="955" t="s">
        <v>33</v>
      </c>
      <c r="M36" s="956"/>
      <c r="N36" s="955" t="s">
        <v>34</v>
      </c>
      <c r="O36" s="956"/>
      <c r="P36" s="955" t="s">
        <v>35</v>
      </c>
      <c r="Q36" s="956"/>
      <c r="R36" s="955" t="s">
        <v>36</v>
      </c>
      <c r="S36" s="956"/>
      <c r="T36" s="955" t="s">
        <v>187</v>
      </c>
      <c r="U36" s="963"/>
      <c r="V36" s="66"/>
      <c r="W36" s="66"/>
    </row>
    <row r="37" spans="1:23" ht="24" x14ac:dyDescent="0.2">
      <c r="A37" s="504" t="s">
        <v>181</v>
      </c>
      <c r="B37" s="713"/>
      <c r="C37" s="731"/>
      <c r="D37" s="713"/>
      <c r="E37" s="731"/>
      <c r="F37" s="713"/>
      <c r="G37" s="731"/>
      <c r="H37" s="732"/>
      <c r="I37" s="731"/>
      <c r="J37" s="732"/>
      <c r="K37" s="731"/>
      <c r="L37" s="732"/>
      <c r="M37" s="731"/>
      <c r="N37" s="732"/>
      <c r="O37" s="731"/>
      <c r="P37" s="732"/>
      <c r="Q37" s="731"/>
      <c r="R37" s="732"/>
      <c r="S37" s="731"/>
      <c r="T37" s="732"/>
      <c r="U37" s="733"/>
      <c r="V37" s="66"/>
      <c r="W37" s="66"/>
    </row>
    <row r="38" spans="1:23" ht="24" x14ac:dyDescent="0.2">
      <c r="A38" s="734" t="s">
        <v>140</v>
      </c>
      <c r="B38" s="705"/>
      <c r="C38" s="735">
        <f>'Arch Eng Cons Science'!C46+'Bio Ag Engineering '!C44+'Chemical '!C44+Civil!C44+'Computer Science'!C54+'Electrical  Computer'!C53+'Industrial Manu'!C53+'Mechanical Nuclear'!C50</f>
        <v>96</v>
      </c>
      <c r="D38" s="705"/>
      <c r="E38" s="735">
        <f>'Arch Eng Cons Science'!E46+'Bio Ag Engineering '!E44+'Chemical '!E44+Civil!E44+'Computer Science'!E54+'Electrical  Computer'!E53+'Industrial Manu'!E53+'Mechanical Nuclear'!E50</f>
        <v>100</v>
      </c>
      <c r="F38" s="705"/>
      <c r="G38" s="735">
        <f>'Arch Eng Cons Science'!G46+'Bio Ag Engineering '!G44+'Chemical '!G44+Civil!G44+'Computer Science'!G54+'Electrical  Computer'!G53+'Industrial Manu'!G53+'Mechanical Nuclear'!G50</f>
        <v>102</v>
      </c>
      <c r="H38" s="705"/>
      <c r="I38" s="735">
        <f>'Arch Eng Cons Science'!I46+'Bio Ag Engineering '!I44+'Chemical '!I44+Civil!I44+'Computer Science'!I54+'Electrical  Computer'!I53+'Industrial Manu'!I53+'Mechanical Nuclear'!I50</f>
        <v>98</v>
      </c>
      <c r="J38" s="705"/>
      <c r="K38" s="735">
        <f>'Arch Eng Cons Science'!K46+'Bio Ag Engineering '!K44+'Chemical '!K44+Civil!K44+'Computer Science'!K54+'Electrical  Computer'!K53+'Industrial Manu'!K53+'Mechanical Nuclear'!K50</f>
        <v>101</v>
      </c>
      <c r="L38" s="705"/>
      <c r="M38" s="735">
        <f>'Arch Eng Cons Science'!M46+'Bio Ag Engineering '!M44+'Chemical '!M44+Civil!M44+'Computer Science'!M54+'Electrical  Computer'!M53+'Industrial Manu'!M53+'Mechanical Nuclear'!M50</f>
        <v>97</v>
      </c>
      <c r="N38" s="705"/>
      <c r="O38" s="735">
        <f>'Arch Eng Cons Science'!O46+'Bio Ag Engineering '!O44+'Chemical '!O44+Civil!O44+'Computer Science'!O54+'Electrical  Computer'!O53+'Industrial Manu'!O53+'Mechanical Nuclear'!O50</f>
        <v>99</v>
      </c>
      <c r="P38" s="705"/>
      <c r="Q38" s="735">
        <f>'Arch Eng Cons Science'!Q46+'Bio Ag Engineering '!Q44+'Chemical '!Q44+Civil!Q44+'Computer Science'!Q54+'Electrical  Computer'!Q53+'Industrial Manu'!Q53+'Mechanical Nuclear'!Q50</f>
        <v>100</v>
      </c>
      <c r="R38" s="705"/>
      <c r="S38" s="735">
        <f>'Arch Eng Cons Science'!S46+'Bio Ag Engineering '!S44+'Chemical '!S44+Civil!S44+'Computer Science'!S54+'Electrical  Computer'!S53+'Industrial Manu'!S53+'Mechanical Nuclear'!S50</f>
        <v>90</v>
      </c>
      <c r="T38" s="705"/>
      <c r="U38" s="707">
        <f>'Arch Eng Cons Science'!U46+'Bio Ag Engineering '!U44+'Chemical '!U44+Civil!U44+'Computer Science'!U54+'Electrical  Computer'!U53+'Industrial Manu'!U53+'Mechanical Nuclear'!U50</f>
        <v>0</v>
      </c>
      <c r="V38" s="66"/>
      <c r="W38" s="66"/>
    </row>
    <row r="39" spans="1:23" ht="24" x14ac:dyDescent="0.2">
      <c r="A39" s="736" t="s">
        <v>182</v>
      </c>
      <c r="B39" s="705"/>
      <c r="C39" s="735">
        <f>'Arch Eng Cons Science'!C47+'Bio Ag Engineering '!C45+'Chemical '!C45+Civil!C45+'Computer Science'!C55+'Electrical  Computer'!C54+'Industrial Manu'!C54+'Mechanical Nuclear'!C51</f>
        <v>93</v>
      </c>
      <c r="D39" s="705"/>
      <c r="E39" s="735">
        <f>'Arch Eng Cons Science'!E47+'Bio Ag Engineering '!E45+'Chemical '!E45+Civil!E45+'Computer Science'!E55+'Electrical  Computer'!E54+'Industrial Manu'!E54+'Mechanical Nuclear'!E51</f>
        <v>97</v>
      </c>
      <c r="F39" s="705"/>
      <c r="G39" s="735">
        <f>'Arch Eng Cons Science'!G47+'Bio Ag Engineering '!G45+'Chemical '!G45+Civil!G45+'Computer Science'!G55+'Electrical  Computer'!G54+'Industrial Manu'!G54+'Mechanical Nuclear'!G51</f>
        <v>97</v>
      </c>
      <c r="H39" s="705"/>
      <c r="I39" s="735">
        <f>'Arch Eng Cons Science'!I47+'Bio Ag Engineering '!I45+'Chemical '!I45+Civil!I45+'Computer Science'!I55+'Electrical  Computer'!I54+'Industrial Manu'!I54+'Mechanical Nuclear'!I51</f>
        <v>94</v>
      </c>
      <c r="J39" s="705"/>
      <c r="K39" s="735">
        <f>'Arch Eng Cons Science'!K47+'Bio Ag Engineering '!K45+'Chemical '!K45+Civil!K45+'Computer Science'!K55+'Electrical  Computer'!K54+'Industrial Manu'!K54+'Mechanical Nuclear'!K51</f>
        <v>99</v>
      </c>
      <c r="L39" s="705"/>
      <c r="M39" s="735">
        <f>'Arch Eng Cons Science'!M47+'Bio Ag Engineering '!M45+'Chemical '!M45+Civil!M45+'Computer Science'!M55+'Electrical  Computer'!M54+'Industrial Manu'!M54+'Mechanical Nuclear'!M51</f>
        <v>97</v>
      </c>
      <c r="N39" s="705"/>
      <c r="O39" s="735">
        <f>'Arch Eng Cons Science'!O47+'Bio Ag Engineering '!O45+'Chemical '!O45+Civil!O45+'Computer Science'!O55+'Electrical  Computer'!O54+'Industrial Manu'!O54+'Mechanical Nuclear'!O51</f>
        <v>98</v>
      </c>
      <c r="P39" s="705"/>
      <c r="Q39" s="735">
        <f>'Arch Eng Cons Science'!Q47+'Bio Ag Engineering '!Q45+'Chemical '!Q45+Civil!Q45+'Computer Science'!Q55+'Electrical  Computer'!Q54+'Industrial Manu'!Q54+'Mechanical Nuclear'!Q51</f>
        <v>100</v>
      </c>
      <c r="R39" s="705"/>
      <c r="S39" s="735">
        <f>'Arch Eng Cons Science'!S47+'Bio Ag Engineering '!S45+'Chemical '!S45+Civil!S45+'Computer Science'!S55+'Electrical  Computer'!S54+'Industrial Manu'!S54+'Mechanical Nuclear'!S51</f>
        <v>89</v>
      </c>
      <c r="T39" s="705"/>
      <c r="U39" s="707">
        <f>'Arch Eng Cons Science'!U47+'Bio Ag Engineering '!U45+'Chemical '!U45+Civil!U45+'Computer Science'!U55+'Electrical  Computer'!U54+'Industrial Manu'!U54+'Mechanical Nuclear'!U51</f>
        <v>0</v>
      </c>
      <c r="V39" s="66"/>
      <c r="W39" s="66"/>
    </row>
    <row r="40" spans="1:23" ht="13.5" thickBot="1" x14ac:dyDescent="0.25">
      <c r="A40" s="737" t="s">
        <v>141</v>
      </c>
      <c r="B40" s="738"/>
      <c r="C40" s="735">
        <f>'Arch Eng Cons Science'!C48+'Bio Ag Engineering '!C46+'Chemical '!C46+Civil!C46+'Computer Science'!C56+'Electrical  Computer'!C55+'Industrial Manu'!C55+'Mechanical Nuclear'!C52</f>
        <v>86.22</v>
      </c>
      <c r="D40" s="738"/>
      <c r="E40" s="735">
        <f>'Arch Eng Cons Science'!E48+'Bio Ag Engineering '!E46+'Chemical '!E46+Civil!E46+'Computer Science'!E56+'Electrical  Computer'!E55+'Industrial Manu'!E55+'Mechanical Nuclear'!E52</f>
        <v>90.08</v>
      </c>
      <c r="F40" s="738"/>
      <c r="G40" s="735">
        <f>'Arch Eng Cons Science'!G48+'Bio Ag Engineering '!G46+'Chemical '!G46+Civil!G46+'Computer Science'!G56+'Electrical  Computer'!G55+'Industrial Manu'!G55+'Mechanical Nuclear'!G52</f>
        <v>88.420000000000016</v>
      </c>
      <c r="H40" s="738"/>
      <c r="I40" s="735">
        <f>'Arch Eng Cons Science'!I48+'Bio Ag Engineering '!I46+'Chemical '!I46+Civil!I46+'Computer Science'!I56+'Electrical  Computer'!I55+'Industrial Manu'!I55+'Mechanical Nuclear'!I52</f>
        <v>89.54</v>
      </c>
      <c r="J40" s="738"/>
      <c r="K40" s="735">
        <f>'Arch Eng Cons Science'!K48+'Bio Ag Engineering '!K46+'Chemical '!K46+Civil!K46+'Computer Science'!K56+'Electrical  Computer'!K55+'Industrial Manu'!K55+'Mechanical Nuclear'!K52</f>
        <v>86.949999999999989</v>
      </c>
      <c r="L40" s="738"/>
      <c r="M40" s="735">
        <f>'Arch Eng Cons Science'!M48+'Bio Ag Engineering '!M46+'Chemical '!M46+Civil!M46+'Computer Science'!M56+'Electrical  Computer'!M55+'Industrial Manu'!M55+'Mechanical Nuclear'!M52</f>
        <v>87.07</v>
      </c>
      <c r="N40" s="738"/>
      <c r="O40" s="735">
        <f>'Arch Eng Cons Science'!O48+'Bio Ag Engineering '!O46+'Chemical '!O46+Civil!O46+'Computer Science'!O56+'Electrical  Computer'!O55+'Industrial Manu'!O55+'Mechanical Nuclear'!O52</f>
        <v>89.34</v>
      </c>
      <c r="P40" s="738"/>
      <c r="Q40" s="735">
        <f>'Arch Eng Cons Science'!Q48+'Bio Ag Engineering '!Q46+'Chemical '!Q46+Civil!Q46+'Computer Science'!Q56+'Electrical  Computer'!Q55+'Industrial Manu'!Q55+'Mechanical Nuclear'!Q52</f>
        <v>91.2</v>
      </c>
      <c r="R40" s="738"/>
      <c r="S40" s="735">
        <f>'Arch Eng Cons Science'!S48+'Bio Ag Engineering '!S46+'Chemical '!S46+Civil!S46+'Computer Science'!S56+'Electrical  Computer'!S55+'Industrial Manu'!S55+'Mechanical Nuclear'!S52</f>
        <v>80.89</v>
      </c>
      <c r="T40" s="738"/>
      <c r="U40" s="707">
        <f>'Arch Eng Cons Science'!U48+'Bio Ag Engineering '!U46+'Chemical '!U46+Civil!U46+'Computer Science'!U56+'Electrical  Computer'!U55+'Industrial Manu'!U55+'Mechanical Nuclear'!U52</f>
        <v>0</v>
      </c>
      <c r="V40" s="66"/>
      <c r="W40" s="66"/>
    </row>
    <row r="41" spans="1:23" ht="13.5" thickBot="1" x14ac:dyDescent="0.25">
      <c r="A41" s="488" t="s">
        <v>172</v>
      </c>
      <c r="B41" s="539" t="s">
        <v>38</v>
      </c>
      <c r="C41" s="541" t="s">
        <v>39</v>
      </c>
      <c r="D41" s="539" t="s">
        <v>38</v>
      </c>
      <c r="E41" s="541" t="s">
        <v>39</v>
      </c>
      <c r="F41" s="539" t="s">
        <v>38</v>
      </c>
      <c r="G41" s="541" t="s">
        <v>39</v>
      </c>
      <c r="H41" s="539" t="s">
        <v>38</v>
      </c>
      <c r="I41" s="541" t="s">
        <v>39</v>
      </c>
      <c r="J41" s="539" t="s">
        <v>38</v>
      </c>
      <c r="K41" s="541" t="s">
        <v>39</v>
      </c>
      <c r="L41" s="539" t="s">
        <v>38</v>
      </c>
      <c r="M41" s="541" t="s">
        <v>39</v>
      </c>
      <c r="N41" s="539" t="s">
        <v>38</v>
      </c>
      <c r="O41" s="541" t="s">
        <v>39</v>
      </c>
      <c r="P41" s="539" t="s">
        <v>38</v>
      </c>
      <c r="Q41" s="541" t="s">
        <v>39</v>
      </c>
      <c r="R41" s="539" t="s">
        <v>38</v>
      </c>
      <c r="S41" s="541" t="s">
        <v>39</v>
      </c>
      <c r="T41" s="539" t="s">
        <v>38</v>
      </c>
      <c r="U41" s="543" t="s">
        <v>39</v>
      </c>
      <c r="V41" s="66"/>
      <c r="W41" s="66"/>
    </row>
    <row r="42" spans="1:23" x14ac:dyDescent="0.2">
      <c r="A42" s="739" t="s">
        <v>40</v>
      </c>
      <c r="B42" s="740"/>
      <c r="C42" s="741"/>
      <c r="D42" s="740"/>
      <c r="E42" s="741"/>
      <c r="F42" s="740"/>
      <c r="G42" s="741"/>
      <c r="H42" s="740"/>
      <c r="I42" s="741"/>
      <c r="J42" s="740"/>
      <c r="K42" s="741"/>
      <c r="L42" s="740"/>
      <c r="M42" s="741"/>
      <c r="N42" s="740"/>
      <c r="O42" s="741"/>
      <c r="P42" s="740"/>
      <c r="Q42" s="741"/>
      <c r="R42" s="740"/>
      <c r="S42" s="741"/>
      <c r="T42" s="759"/>
      <c r="U42" s="742"/>
      <c r="V42" s="66"/>
      <c r="W42" s="66"/>
    </row>
    <row r="43" spans="1:23" x14ac:dyDescent="0.2">
      <c r="A43" s="743" t="s">
        <v>41</v>
      </c>
      <c r="B43" s="801"/>
      <c r="C43" s="716">
        <f>'Dean''s Office '!C30+'Arch Eng Cons Science'!C51+'Bio Ag Engineering '!C49+'Chemical '!C49+Civil!C49+'Computer Science'!C59+'Electrical  Computer'!C58+'Industrial Manu'!C58+'Mechanical Nuclear'!C55</f>
        <v>104</v>
      </c>
      <c r="D43" s="801"/>
      <c r="E43" s="716">
        <f>'Dean''s Office '!E30+'Arch Eng Cons Science'!E51+'Bio Ag Engineering '!E49+'Chemical '!E49+Civil!E49+'Computer Science'!E59+'Electrical  Computer'!E58+'Industrial Manu'!E58+'Mechanical Nuclear'!E55</f>
        <v>110</v>
      </c>
      <c r="F43" s="801"/>
      <c r="G43" s="716">
        <f>'Dean''s Office '!G30+'Arch Eng Cons Science'!G51+'Bio Ag Engineering '!G49+'Chemical '!G49+Civil!G49+'Computer Science'!G59+'Electrical  Computer'!G58+'Industrial Manu'!G58+'Mechanical Nuclear'!G55</f>
        <v>112</v>
      </c>
      <c r="H43" s="801"/>
      <c r="I43" s="716">
        <f>'Dean''s Office '!I30+'Arch Eng Cons Science'!I51+'Bio Ag Engineering '!I49+'Chemical '!I49+Civil!I49+'Computer Science'!I59+'Electrical  Computer'!I58+'Industrial Manu'!I58+'Mechanical Nuclear'!I55</f>
        <v>103</v>
      </c>
      <c r="J43" s="744">
        <f>'Dean''s Office '!J30+'Arch Eng Cons Science'!J51+'Bio Ag Engineering '!J49+'Chemical '!J49+Civil!J49+'Computer Science'!J59+'Electrical  Computer'!J58+'Industrial Manu'!J58+'Mechanical Nuclear'!J55</f>
        <v>109</v>
      </c>
      <c r="K43" s="716">
        <f>'Dean''s Office '!K30+'Arch Eng Cons Science'!K51+'Bio Ag Engineering '!K49+'Chemical '!K49+Civil!K49+'Computer Science'!K59+'Electrical  Computer'!K58+'Industrial Manu'!K58+'Mechanical Nuclear'!K55</f>
        <v>109</v>
      </c>
      <c r="L43" s="744">
        <f>'Dean''s Office '!L30+'Arch Eng Cons Science'!L51+'Bio Ag Engineering '!L49+'Chemical '!L49+Civil!L49+'Computer Science'!L59+'Electrical  Computer'!L58+'Industrial Manu'!L58+'Mechanical Nuclear'!L55</f>
        <v>106</v>
      </c>
      <c r="M43" s="716">
        <f>'Dean''s Office '!M30+'Arch Eng Cons Science'!M51+'Bio Ag Engineering '!M49+'Chemical '!M49+Civil!M49+'Computer Science'!M59+'Electrical  Computer'!M58+'Industrial Manu'!M58+'Mechanical Nuclear'!M55</f>
        <v>106</v>
      </c>
      <c r="N43" s="744">
        <f>'Dean''s Office '!N30+'Arch Eng Cons Science'!N51+'Bio Ag Engineering '!N49+'Chemical '!N49+Civil!N49+'Computer Science'!N59+'Electrical  Computer'!N58+'Industrial Manu'!N58+'Mechanical Nuclear'!N55</f>
        <v>111</v>
      </c>
      <c r="O43" s="716">
        <f>'Dean''s Office '!O30+'Arch Eng Cons Science'!O51+'Bio Ag Engineering '!O49+'Chemical '!O49+Civil!O49+'Computer Science'!O59+'Electrical  Computer'!O58+'Industrial Manu'!O58+'Mechanical Nuclear'!O55</f>
        <v>111</v>
      </c>
      <c r="P43" s="744">
        <f>'Dean''s Office '!P30+'Arch Eng Cons Science'!P51+'Bio Ag Engineering '!P49+'Chemical '!P49+Civil!P49+'Computer Science'!P59+'Electrical  Computer'!P58+'Industrial Manu'!P58+'Mechanical Nuclear'!P55</f>
        <v>116</v>
      </c>
      <c r="Q43" s="716">
        <f>'Dean''s Office '!Q30+'Arch Eng Cons Science'!Q51+'Bio Ag Engineering '!Q49+'Chemical '!Q49+Civil!Q49+'Computer Science'!Q59+'Electrical  Computer'!Q58+'Industrial Manu'!Q58+'Mechanical Nuclear'!Q55</f>
        <v>116</v>
      </c>
      <c r="R43" s="744">
        <f>'Dean''s Office '!R30+'Arch Eng Cons Science'!R51+'Bio Ag Engineering '!R49+'Chemical '!R49+Civil!R49+'Computer Science'!R59+'Electrical  Computer'!R58+'Industrial Manu'!R58+'Mechanical Nuclear'!R55</f>
        <v>108</v>
      </c>
      <c r="S43" s="716">
        <f>'Dean''s Office '!S30+'Arch Eng Cons Science'!S51+'Bio Ag Engineering '!S49+'Chemical '!S49+Civil!S49+'Computer Science'!S59+'Electrical  Computer'!S58+'Industrial Manu'!S58+'Mechanical Nuclear'!S55</f>
        <v>108</v>
      </c>
      <c r="T43" s="744">
        <f>'Dean''s Office '!T30+'Arch Eng Cons Science'!T51+'Bio Ag Engineering '!T49+'Chemical '!T49+Civil!T49+'Computer Science'!T59+'Electrical  Computer'!T58+'Industrial Manu'!T58+'Mechanical Nuclear'!T55</f>
        <v>0</v>
      </c>
      <c r="U43" s="707">
        <f>'Dean''s Office '!U30+'Arch Eng Cons Science'!U51+'Bio Ag Engineering '!U49+'Chemical '!U49+Civil!U49+'Computer Science'!U59+'Electrical  Computer'!U58+'Industrial Manu'!U58+'Mechanical Nuclear'!U55</f>
        <v>0</v>
      </c>
      <c r="V43" s="66"/>
      <c r="W43" s="66"/>
    </row>
    <row r="44" spans="1:23" x14ac:dyDescent="0.2">
      <c r="A44" s="743" t="s">
        <v>42</v>
      </c>
      <c r="B44" s="801"/>
      <c r="C44" s="716">
        <f>'Dean''s Office '!C31+'Arch Eng Cons Science'!C52+'Bio Ag Engineering '!C50+'Chemical '!C50+Civil!C50+'Computer Science'!C60+'Electrical  Computer'!C59+'Industrial Manu'!C59+'Mechanical Nuclear'!C56</f>
        <v>10</v>
      </c>
      <c r="D44" s="801"/>
      <c r="E44" s="716">
        <f>'Dean''s Office '!E31+'Arch Eng Cons Science'!E52+'Bio Ag Engineering '!E50+'Chemical '!E50+Civil!E50+'Computer Science'!E60+'Electrical  Computer'!E59+'Industrial Manu'!E59+'Mechanical Nuclear'!E56</f>
        <v>12</v>
      </c>
      <c r="F44" s="801"/>
      <c r="G44" s="716">
        <f>'Dean''s Office '!G31+'Arch Eng Cons Science'!G52+'Bio Ag Engineering '!G50+'Chemical '!G50+Civil!G50+'Computer Science'!G60+'Electrical  Computer'!G59+'Industrial Manu'!G59+'Mechanical Nuclear'!G56</f>
        <v>9</v>
      </c>
      <c r="H44" s="801"/>
      <c r="I44" s="716">
        <f>'Dean''s Office '!I31+'Arch Eng Cons Science'!I52+'Bio Ag Engineering '!I50+'Chemical '!I50+Civil!I50+'Computer Science'!I60+'Electrical  Computer'!I59+'Industrial Manu'!I59+'Mechanical Nuclear'!I56</f>
        <v>6</v>
      </c>
      <c r="J44" s="744">
        <f>'Dean''s Office '!J31+'Arch Eng Cons Science'!J52+'Bio Ag Engineering '!J50+'Chemical '!J50+Civil!J50+'Computer Science'!J60+'Electrical  Computer'!J59+'Industrial Manu'!J59+'Mechanical Nuclear'!J56</f>
        <v>3.1</v>
      </c>
      <c r="K44" s="716">
        <f>'Dean''s Office '!K31+'Arch Eng Cons Science'!K52+'Bio Ag Engineering '!K50+'Chemical '!K50+Civil!K50+'Computer Science'!K60+'Electrical  Computer'!K59+'Industrial Manu'!K59+'Mechanical Nuclear'!K56</f>
        <v>6</v>
      </c>
      <c r="L44" s="744">
        <f>'Dean''s Office '!L31+'Arch Eng Cons Science'!L52+'Bio Ag Engineering '!L50+'Chemical '!L50+Civil!L50+'Computer Science'!L60+'Electrical  Computer'!L59+'Industrial Manu'!L59+'Mechanical Nuclear'!L56</f>
        <v>3.25</v>
      </c>
      <c r="M44" s="716">
        <f>'Dean''s Office '!M31+'Arch Eng Cons Science'!M52+'Bio Ag Engineering '!M50+'Chemical '!M50+Civil!M50+'Computer Science'!M60+'Electrical  Computer'!M59+'Industrial Manu'!M59+'Mechanical Nuclear'!M56</f>
        <v>7</v>
      </c>
      <c r="N44" s="744">
        <f>'Dean''s Office '!N31+'Arch Eng Cons Science'!N52+'Bio Ag Engineering '!N50+'Chemical '!N50+Civil!N50+'Computer Science'!N60+'Electrical  Computer'!N59+'Industrial Manu'!N59+'Mechanical Nuclear'!N56</f>
        <v>2.5</v>
      </c>
      <c r="O44" s="716">
        <f>'Dean''s Office '!O31+'Arch Eng Cons Science'!O52+'Bio Ag Engineering '!O50+'Chemical '!O50+Civil!O50+'Computer Science'!O60+'Electrical  Computer'!O59+'Industrial Manu'!O59+'Mechanical Nuclear'!O56</f>
        <v>5</v>
      </c>
      <c r="P44" s="744">
        <f>'Dean''s Office '!P31+'Arch Eng Cons Science'!P52+'Bio Ag Engineering '!P50+'Chemical '!P50+Civil!P50+'Computer Science'!P60+'Electrical  Computer'!P59+'Industrial Manu'!P59+'Mechanical Nuclear'!P56</f>
        <v>3.3</v>
      </c>
      <c r="Q44" s="716">
        <f>'Dean''s Office '!Q31+'Arch Eng Cons Science'!Q52+'Bio Ag Engineering '!Q50+'Chemical '!Q50+Civil!Q50+'Computer Science'!Q60+'Electrical  Computer'!Q59+'Industrial Manu'!Q59+'Mechanical Nuclear'!Q56</f>
        <v>7</v>
      </c>
      <c r="R44" s="744">
        <f>'Dean''s Office '!R31+'Arch Eng Cons Science'!R52+'Bio Ag Engineering '!R50+'Chemical '!R50+Civil!R50+'Computer Science'!R60+'Electrical  Computer'!R59+'Industrial Manu'!R59+'Mechanical Nuclear'!R56</f>
        <v>4.5999999999999996</v>
      </c>
      <c r="S44" s="716">
        <f>'Dean''s Office '!S31+'Arch Eng Cons Science'!S52+'Bio Ag Engineering '!S50+'Chemical '!S50+Civil!S50+'Computer Science'!S60+'Electrical  Computer'!S59+'Industrial Manu'!S59+'Mechanical Nuclear'!S56</f>
        <v>9</v>
      </c>
      <c r="T44" s="744">
        <f>'Dean''s Office '!T31+'Arch Eng Cons Science'!T52+'Bio Ag Engineering '!T50+'Chemical '!T50+Civil!T50+'Computer Science'!T60+'Electrical  Computer'!T59+'Industrial Manu'!T59+'Mechanical Nuclear'!T56</f>
        <v>0</v>
      </c>
      <c r="U44" s="707">
        <f>'Dean''s Office '!U31+'Arch Eng Cons Science'!U52+'Bio Ag Engineering '!U50+'Chemical '!U50+Civil!U50+'Computer Science'!U60+'Electrical  Computer'!U59+'Industrial Manu'!U59+'Mechanical Nuclear'!U56</f>
        <v>0</v>
      </c>
      <c r="V44" s="66"/>
      <c r="W44" s="66"/>
    </row>
    <row r="45" spans="1:23" x14ac:dyDescent="0.2">
      <c r="A45" s="745" t="s">
        <v>43</v>
      </c>
      <c r="B45" s="801"/>
      <c r="C45" s="716">
        <f>'Dean''s Office '!C32+'Arch Eng Cons Science'!C53+'Bio Ag Engineering '!C51+'Chemical '!C51+Civil!C51+'Computer Science'!C61+'Electrical  Computer'!C60+'Industrial Manu'!C60+'Mechanical Nuclear'!C57</f>
        <v>0</v>
      </c>
      <c r="D45" s="801"/>
      <c r="E45" s="716">
        <f>'Dean''s Office '!E32+'Arch Eng Cons Science'!E53+'Bio Ag Engineering '!E51+'Chemical '!E51+Civil!E51+'Computer Science'!E61+'Electrical  Computer'!E60+'Industrial Manu'!E60+'Mechanical Nuclear'!E57</f>
        <v>0</v>
      </c>
      <c r="F45" s="801"/>
      <c r="G45" s="716">
        <f>'Dean''s Office '!G32+'Arch Eng Cons Science'!G53+'Bio Ag Engineering '!G51+'Chemical '!G51+Civil!G51+'Computer Science'!G61+'Electrical  Computer'!G60+'Industrial Manu'!G60+'Mechanical Nuclear'!G57</f>
        <v>0</v>
      </c>
      <c r="H45" s="801"/>
      <c r="I45" s="716">
        <f>'Dean''s Office '!I32+'Arch Eng Cons Science'!I53+'Bio Ag Engineering '!I51+'Chemical '!I51+Civil!I51+'Computer Science'!I61+'Electrical  Computer'!I60+'Industrial Manu'!I60+'Mechanical Nuclear'!I57</f>
        <v>0</v>
      </c>
      <c r="J45" s="744">
        <f>'Dean''s Office '!J32+'Arch Eng Cons Science'!J53+'Bio Ag Engineering '!J51+'Chemical '!J51+Civil!J51+'Computer Science'!J61+'Electrical  Computer'!J60+'Industrial Manu'!J60+'Mechanical Nuclear'!J57</f>
        <v>0</v>
      </c>
      <c r="K45" s="716">
        <f>'Dean''s Office '!K32+'Arch Eng Cons Science'!K53+'Bio Ag Engineering '!K51+'Chemical '!K51+Civil!K51+'Computer Science'!K61+'Electrical  Computer'!K60+'Industrial Manu'!K60+'Mechanical Nuclear'!K57</f>
        <v>0</v>
      </c>
      <c r="L45" s="744">
        <f>'Dean''s Office '!L32+'Arch Eng Cons Science'!L53+'Bio Ag Engineering '!L51+'Chemical '!L51+Civil!L51+'Computer Science'!L61+'Electrical  Computer'!L60+'Industrial Manu'!L60+'Mechanical Nuclear'!L57</f>
        <v>0</v>
      </c>
      <c r="M45" s="716">
        <f>'Dean''s Office '!M32+'Arch Eng Cons Science'!M53+'Bio Ag Engineering '!M51+'Chemical '!M51+Civil!M51+'Computer Science'!M61+'Electrical  Computer'!M60+'Industrial Manu'!M60+'Mechanical Nuclear'!M57</f>
        <v>0</v>
      </c>
      <c r="N45" s="744">
        <f>'Dean''s Office '!N32+'Arch Eng Cons Science'!N53+'Bio Ag Engineering '!N51+'Chemical '!N51+Civil!N51+'Computer Science'!N61+'Electrical  Computer'!N60+'Industrial Manu'!N60+'Mechanical Nuclear'!N57</f>
        <v>0</v>
      </c>
      <c r="O45" s="716">
        <f>'Dean''s Office '!O32+'Arch Eng Cons Science'!O53+'Bio Ag Engineering '!O51+'Chemical '!O51+Civil!O51+'Computer Science'!O61+'Electrical  Computer'!O60+'Industrial Manu'!O60+'Mechanical Nuclear'!O57</f>
        <v>0</v>
      </c>
      <c r="P45" s="744">
        <f>'Dean''s Office '!P32+'Arch Eng Cons Science'!P53+'Bio Ag Engineering '!P51+'Chemical '!P51+Civil!P51+'Computer Science'!P61+'Electrical  Computer'!P60+'Industrial Manu'!P60+'Mechanical Nuclear'!P57</f>
        <v>0</v>
      </c>
      <c r="Q45" s="716">
        <f>'Dean''s Office '!Q32+'Arch Eng Cons Science'!Q53+'Bio Ag Engineering '!Q51+'Chemical '!Q51+Civil!Q51+'Computer Science'!Q61+'Electrical  Computer'!Q60+'Industrial Manu'!Q60+'Mechanical Nuclear'!Q57</f>
        <v>0</v>
      </c>
      <c r="R45" s="744">
        <f>'Dean''s Office '!R32+'Arch Eng Cons Science'!R53+'Bio Ag Engineering '!R51+'Chemical '!R51+Civil!R51+'Computer Science'!R61+'Electrical  Computer'!R60+'Industrial Manu'!R60+'Mechanical Nuclear'!R57</f>
        <v>0</v>
      </c>
      <c r="S45" s="716">
        <f>'Dean''s Office '!S32+'Arch Eng Cons Science'!S53+'Bio Ag Engineering '!S51+'Chemical '!S51+Civil!S51+'Computer Science'!S61+'Electrical  Computer'!S60+'Industrial Manu'!S60+'Mechanical Nuclear'!S57</f>
        <v>0</v>
      </c>
      <c r="T45" s="744">
        <f>'Dean''s Office '!T32+'Arch Eng Cons Science'!T53+'Bio Ag Engineering '!T51+'Chemical '!T51+Civil!T51+'Computer Science'!T61+'Electrical  Computer'!T60+'Industrial Manu'!T60+'Mechanical Nuclear'!T57</f>
        <v>0</v>
      </c>
      <c r="U45" s="707">
        <f>'Dean''s Office '!U32+'Arch Eng Cons Science'!U53+'Bio Ag Engineering '!U51+'Chemical '!U51+Civil!U51+'Computer Science'!U61+'Electrical  Computer'!U60+'Industrial Manu'!U60+'Mechanical Nuclear'!U57</f>
        <v>0</v>
      </c>
      <c r="V45" s="66"/>
      <c r="W45" s="66"/>
    </row>
    <row r="46" spans="1:23" x14ac:dyDescent="0.2">
      <c r="A46" s="743" t="s">
        <v>41</v>
      </c>
      <c r="B46" s="801"/>
      <c r="C46" s="716">
        <f>'Dean''s Office '!C33+'Arch Eng Cons Science'!C54+'Bio Ag Engineering '!C52+'Chemical '!C52+Civil!C52+'Computer Science'!C62+'Electrical  Computer'!C61+'Industrial Manu'!C61+'Mechanical Nuclear'!C58</f>
        <v>16</v>
      </c>
      <c r="D46" s="801"/>
      <c r="E46" s="716">
        <f>'Dean''s Office '!E33+'Arch Eng Cons Science'!E54+'Bio Ag Engineering '!E52+'Chemical '!E52+Civil!E52+'Computer Science'!E62+'Electrical  Computer'!E61+'Industrial Manu'!E61+'Mechanical Nuclear'!E58</f>
        <v>21</v>
      </c>
      <c r="F46" s="801"/>
      <c r="G46" s="716">
        <f>'Dean''s Office '!G33+'Arch Eng Cons Science'!G54+'Bio Ag Engineering '!G52+'Chemical '!G52+Civil!G52+'Computer Science'!G62+'Electrical  Computer'!G61+'Industrial Manu'!G61+'Mechanical Nuclear'!G58</f>
        <v>21</v>
      </c>
      <c r="H46" s="801"/>
      <c r="I46" s="716">
        <f>'Dean''s Office '!I33+'Arch Eng Cons Science'!I54+'Bio Ag Engineering '!I52+'Chemical '!I52+Civil!I52+'Computer Science'!I62+'Electrical  Computer'!I61+'Industrial Manu'!I61+'Mechanical Nuclear'!I58</f>
        <v>23</v>
      </c>
      <c r="J46" s="744">
        <f>'Dean''s Office '!J33+'Arch Eng Cons Science'!J54+'Bio Ag Engineering '!J52+'Chemical '!J52+Civil!J52+'Computer Science'!J62+'Electrical  Computer'!J61+'Industrial Manu'!J61+'Mechanical Nuclear'!J58</f>
        <v>21</v>
      </c>
      <c r="K46" s="716">
        <f>'Dean''s Office '!K33+'Arch Eng Cons Science'!K54+'Bio Ag Engineering '!K52+'Chemical '!K52+Civil!K52+'Computer Science'!K62+'Electrical  Computer'!K61+'Industrial Manu'!K61+'Mechanical Nuclear'!K58</f>
        <v>21</v>
      </c>
      <c r="L46" s="744">
        <f>'Dean''s Office '!L33+'Arch Eng Cons Science'!L54+'Bio Ag Engineering '!L52+'Chemical '!L52+Civil!L52+'Computer Science'!L62+'Electrical  Computer'!L61+'Industrial Manu'!L61+'Mechanical Nuclear'!L58</f>
        <v>25</v>
      </c>
      <c r="M46" s="716">
        <f>'Dean''s Office '!M33+'Arch Eng Cons Science'!M54+'Bio Ag Engineering '!M52+'Chemical '!M52+Civil!M52+'Computer Science'!M62+'Electrical  Computer'!M61+'Industrial Manu'!M61+'Mechanical Nuclear'!M58</f>
        <v>25</v>
      </c>
      <c r="N46" s="744">
        <f>'Dean''s Office '!N33+'Arch Eng Cons Science'!N54+'Bio Ag Engineering '!N52+'Chemical '!N52+Civil!N52+'Computer Science'!N62+'Electrical  Computer'!N61+'Industrial Manu'!N61+'Mechanical Nuclear'!N58</f>
        <v>24</v>
      </c>
      <c r="O46" s="716">
        <f>'Dean''s Office '!O33+'Arch Eng Cons Science'!O54+'Bio Ag Engineering '!O52+'Chemical '!O52+Civil!O52+'Computer Science'!O62+'Electrical  Computer'!O61+'Industrial Manu'!O61+'Mechanical Nuclear'!O58</f>
        <v>24</v>
      </c>
      <c r="P46" s="744">
        <f>'Dean''s Office '!P33+'Arch Eng Cons Science'!P54+'Bio Ag Engineering '!P52+'Chemical '!P52+Civil!P52+'Computer Science'!P62+'Electrical  Computer'!P61+'Industrial Manu'!P61+'Mechanical Nuclear'!P58</f>
        <v>20</v>
      </c>
      <c r="Q46" s="716">
        <f>'Dean''s Office '!Q33+'Arch Eng Cons Science'!Q54+'Bio Ag Engineering '!Q52+'Chemical '!Q52+Civil!Q52+'Computer Science'!Q62+'Electrical  Computer'!Q61+'Industrial Manu'!Q61+'Mechanical Nuclear'!Q58</f>
        <v>20</v>
      </c>
      <c r="R46" s="744">
        <f>'Dean''s Office '!R33+'Arch Eng Cons Science'!R54+'Bio Ag Engineering '!R52+'Chemical '!R52+Civil!R52+'Computer Science'!R62+'Electrical  Computer'!R61+'Industrial Manu'!R61+'Mechanical Nuclear'!R58</f>
        <v>27</v>
      </c>
      <c r="S46" s="716">
        <f>'Dean''s Office '!S33+'Arch Eng Cons Science'!S54+'Bio Ag Engineering '!S52+'Chemical '!S52+Civil!S52+'Computer Science'!S62+'Electrical  Computer'!S61+'Industrial Manu'!S61+'Mechanical Nuclear'!S58</f>
        <v>27</v>
      </c>
      <c r="T46" s="744">
        <f>'Dean''s Office '!T33+'Arch Eng Cons Science'!T54+'Bio Ag Engineering '!T52+'Chemical '!T52+Civil!T52+'Computer Science'!T62+'Electrical  Computer'!T61+'Industrial Manu'!T61+'Mechanical Nuclear'!T58</f>
        <v>0</v>
      </c>
      <c r="U46" s="707">
        <f>'Dean''s Office '!U33+'Arch Eng Cons Science'!U54+'Bio Ag Engineering '!U52+'Chemical '!U52+Civil!U52+'Computer Science'!U62+'Electrical  Computer'!U61+'Industrial Manu'!U61+'Mechanical Nuclear'!U58</f>
        <v>0</v>
      </c>
      <c r="V46" s="66"/>
      <c r="W46" s="66"/>
    </row>
    <row r="47" spans="1:23" ht="13.5" thickBot="1" x14ac:dyDescent="0.25">
      <c r="A47" s="746" t="s">
        <v>42</v>
      </c>
      <c r="B47" s="802"/>
      <c r="C47" s="716">
        <f>'Dean''s Office '!C34+'Arch Eng Cons Science'!C55+'Bio Ag Engineering '!C53+'Chemical '!C53+Civil!C53+'Computer Science'!C63+'Electrical  Computer'!C62+'Industrial Manu'!C62+'Mechanical Nuclear'!C59</f>
        <v>9</v>
      </c>
      <c r="D47" s="802"/>
      <c r="E47" s="716">
        <f>'Dean''s Office '!E34+'Arch Eng Cons Science'!E55+'Bio Ag Engineering '!E53+'Chemical '!E53+Civil!E53+'Computer Science'!E63+'Electrical  Computer'!E62+'Industrial Manu'!E62+'Mechanical Nuclear'!E59</f>
        <v>5</v>
      </c>
      <c r="F47" s="802"/>
      <c r="G47" s="716">
        <f>'Dean''s Office '!G34+'Arch Eng Cons Science'!G55+'Bio Ag Engineering '!G53+'Chemical '!G53+Civil!G53+'Computer Science'!G63+'Electrical  Computer'!G62+'Industrial Manu'!G62+'Mechanical Nuclear'!G59</f>
        <v>6</v>
      </c>
      <c r="H47" s="802"/>
      <c r="I47" s="716">
        <f>'Dean''s Office '!I34+'Arch Eng Cons Science'!I55+'Bio Ag Engineering '!I53+'Chemical '!I53+Civil!I53+'Computer Science'!I63+'Electrical  Computer'!I62+'Industrial Manu'!I62+'Mechanical Nuclear'!I59</f>
        <v>3</v>
      </c>
      <c r="J47" s="770">
        <f>'Dean''s Office '!J34+'Arch Eng Cons Science'!J55+'Bio Ag Engineering '!J53+'Chemical '!J53+Civil!J53+'Computer Science'!J63+'Electrical  Computer'!J62+'Industrial Manu'!J62+'Mechanical Nuclear'!J59</f>
        <v>0.89999999999999991</v>
      </c>
      <c r="K47" s="716">
        <f>'Dean''s Office '!K34+'Arch Eng Cons Science'!K55+'Bio Ag Engineering '!K53+'Chemical '!K53+Civil!K53+'Computer Science'!K63+'Electrical  Computer'!K62+'Industrial Manu'!K62+'Mechanical Nuclear'!K59</f>
        <v>3</v>
      </c>
      <c r="L47" s="770">
        <f>'Dean''s Office '!L34+'Arch Eng Cons Science'!L55+'Bio Ag Engineering '!L53+'Chemical '!L53+Civil!L53+'Computer Science'!L63+'Electrical  Computer'!L62+'Industrial Manu'!L62+'Mechanical Nuclear'!L59</f>
        <v>0.89999999999999991</v>
      </c>
      <c r="M47" s="716">
        <f>'Dean''s Office '!M34+'Arch Eng Cons Science'!M55+'Bio Ag Engineering '!M53+'Chemical '!M53+Civil!M53+'Computer Science'!M63+'Electrical  Computer'!M62+'Industrial Manu'!M62+'Mechanical Nuclear'!M59</f>
        <v>3</v>
      </c>
      <c r="N47" s="770">
        <f>'Dean''s Office '!N34+'Arch Eng Cons Science'!N55+'Bio Ag Engineering '!N53+'Chemical '!N53+Civil!N53+'Computer Science'!N63+'Electrical  Computer'!N62+'Industrial Manu'!N62+'Mechanical Nuclear'!N59</f>
        <v>0.7</v>
      </c>
      <c r="O47" s="716">
        <f>'Dean''s Office '!O34+'Arch Eng Cons Science'!O55+'Bio Ag Engineering '!O53+'Chemical '!O53+Civil!O53+'Computer Science'!O63+'Electrical  Computer'!O62+'Industrial Manu'!O62+'Mechanical Nuclear'!O59</f>
        <v>3</v>
      </c>
      <c r="P47" s="770">
        <f>'Dean''s Office '!P34+'Arch Eng Cons Science'!P55+'Bio Ag Engineering '!P53+'Chemical '!P53+Civil!P53+'Computer Science'!P63+'Electrical  Computer'!P62+'Industrial Manu'!P62+'Mechanical Nuclear'!P59</f>
        <v>0.1</v>
      </c>
      <c r="Q47" s="716">
        <f>'Dean''s Office '!Q34+'Arch Eng Cons Science'!Q55+'Bio Ag Engineering '!Q53+'Chemical '!Q53+Civil!Q53+'Computer Science'!Q63+'Electrical  Computer'!Q62+'Industrial Manu'!Q62+'Mechanical Nuclear'!Q59</f>
        <v>1</v>
      </c>
      <c r="R47" s="770">
        <f>'Dean''s Office '!R34+'Arch Eng Cons Science'!R55+'Bio Ag Engineering '!R53+'Chemical '!R53+Civil!R53+'Computer Science'!R63+'Electrical  Computer'!R62+'Industrial Manu'!R62+'Mechanical Nuclear'!R59</f>
        <v>0</v>
      </c>
      <c r="S47" s="716">
        <f>'Dean''s Office '!S34+'Arch Eng Cons Science'!S55+'Bio Ag Engineering '!S53+'Chemical '!S53+Civil!S53+'Computer Science'!S63+'Electrical  Computer'!S62+'Industrial Manu'!S62+'Mechanical Nuclear'!S59</f>
        <v>0</v>
      </c>
      <c r="T47" s="770">
        <f>'Dean''s Office '!T34+'Arch Eng Cons Science'!T55+'Bio Ag Engineering '!T53+'Chemical '!T53+Civil!T53+'Computer Science'!T63+'Electrical  Computer'!T62+'Industrial Manu'!T62+'Mechanical Nuclear'!T59</f>
        <v>0</v>
      </c>
      <c r="U47" s="707">
        <f>'Dean''s Office '!U34+'Arch Eng Cons Science'!U55+'Bio Ag Engineering '!U53+'Chemical '!U53+Civil!U53+'Computer Science'!U63+'Electrical  Computer'!U62+'Industrial Manu'!U62+'Mechanical Nuclear'!U59</f>
        <v>0</v>
      </c>
      <c r="V47" s="66"/>
      <c r="W47" s="66"/>
    </row>
    <row r="48" spans="1:23" ht="13.5" thickBot="1" x14ac:dyDescent="0.25">
      <c r="A48" s="748" t="s">
        <v>26</v>
      </c>
      <c r="B48" s="803"/>
      <c r="C48" s="749">
        <f t="shared" ref="C48" si="0">SUM(C42:C47)</f>
        <v>139</v>
      </c>
      <c r="D48" s="803"/>
      <c r="E48" s="749">
        <f t="shared" ref="E48:S48" si="1">SUM(E42:E47)</f>
        <v>148</v>
      </c>
      <c r="F48" s="803"/>
      <c r="G48" s="749">
        <f t="shared" si="1"/>
        <v>148</v>
      </c>
      <c r="H48" s="804"/>
      <c r="I48" s="749">
        <f t="shared" si="1"/>
        <v>135</v>
      </c>
      <c r="J48" s="758">
        <f t="shared" si="1"/>
        <v>134</v>
      </c>
      <c r="K48" s="749">
        <f t="shared" si="1"/>
        <v>139</v>
      </c>
      <c r="L48" s="758">
        <f t="shared" si="1"/>
        <v>135.15</v>
      </c>
      <c r="M48" s="749">
        <f t="shared" si="1"/>
        <v>141</v>
      </c>
      <c r="N48" s="758">
        <f t="shared" si="1"/>
        <v>138.19999999999999</v>
      </c>
      <c r="O48" s="749">
        <f t="shared" si="1"/>
        <v>143</v>
      </c>
      <c r="P48" s="758">
        <f t="shared" si="1"/>
        <v>139.4</v>
      </c>
      <c r="Q48" s="749">
        <f t="shared" si="1"/>
        <v>144</v>
      </c>
      <c r="R48" s="758">
        <f t="shared" si="1"/>
        <v>139.6</v>
      </c>
      <c r="S48" s="749">
        <f t="shared" si="1"/>
        <v>144</v>
      </c>
      <c r="T48" s="758">
        <f t="shared" ref="T48:U48" si="2">SUM(T42:T47)</f>
        <v>0</v>
      </c>
      <c r="U48" s="771">
        <f t="shared" si="2"/>
        <v>0</v>
      </c>
      <c r="V48" s="66"/>
      <c r="W48" s="66"/>
    </row>
    <row r="49" spans="1:23" ht="13.5" thickBot="1" x14ac:dyDescent="0.25">
      <c r="A49" s="532" t="s">
        <v>163</v>
      </c>
      <c r="B49" s="539" t="s">
        <v>37</v>
      </c>
      <c r="C49" s="541" t="s">
        <v>44</v>
      </c>
      <c r="D49" s="539" t="s">
        <v>37</v>
      </c>
      <c r="E49" s="541" t="s">
        <v>44</v>
      </c>
      <c r="F49" s="539" t="s">
        <v>37</v>
      </c>
      <c r="G49" s="541" t="s">
        <v>44</v>
      </c>
      <c r="H49" s="539" t="s">
        <v>37</v>
      </c>
      <c r="I49" s="541" t="s">
        <v>44</v>
      </c>
      <c r="J49" s="539" t="s">
        <v>37</v>
      </c>
      <c r="K49" s="541" t="s">
        <v>44</v>
      </c>
      <c r="L49" s="539" t="s">
        <v>37</v>
      </c>
      <c r="M49" s="541" t="s">
        <v>44</v>
      </c>
      <c r="N49" s="539" t="s">
        <v>37</v>
      </c>
      <c r="O49" s="541" t="s">
        <v>44</v>
      </c>
      <c r="P49" s="539" t="s">
        <v>37</v>
      </c>
      <c r="Q49" s="541" t="s">
        <v>44</v>
      </c>
      <c r="R49" s="539" t="s">
        <v>37</v>
      </c>
      <c r="S49" s="541" t="s">
        <v>44</v>
      </c>
      <c r="T49" s="539" t="s">
        <v>37</v>
      </c>
      <c r="U49" s="543" t="s">
        <v>44</v>
      </c>
      <c r="V49" s="66"/>
      <c r="W49" s="66"/>
    </row>
    <row r="50" spans="1:23" x14ac:dyDescent="0.2">
      <c r="A50" s="750" t="s">
        <v>164</v>
      </c>
      <c r="B50" s="740"/>
      <c r="C50" s="741"/>
      <c r="D50" s="740"/>
      <c r="E50" s="741"/>
      <c r="F50" s="740"/>
      <c r="G50" s="741"/>
      <c r="H50" s="740"/>
      <c r="I50" s="741"/>
      <c r="J50" s="740"/>
      <c r="K50" s="741"/>
      <c r="L50" s="740"/>
      <c r="M50" s="741"/>
      <c r="N50" s="740"/>
      <c r="O50" s="741"/>
      <c r="P50" s="740"/>
      <c r="Q50" s="741"/>
      <c r="R50" s="740"/>
      <c r="S50" s="741"/>
      <c r="T50" s="740"/>
      <c r="U50" s="742"/>
      <c r="V50" s="66"/>
      <c r="W50" s="66"/>
    </row>
    <row r="51" spans="1:23" x14ac:dyDescent="0.2">
      <c r="A51" s="186" t="s">
        <v>45</v>
      </c>
      <c r="B51" s="744">
        <f>'Dean''s Office '!B38+'Arch Eng Cons Science'!B59+'Bio Ag Engineering '!B57+'Chemical '!B57+Civil!B57+'Computer Science'!B67+'Electrical  Computer'!B66+'Industrial Manu'!B66+'Mechanical Nuclear'!B63</f>
        <v>102</v>
      </c>
      <c r="C51" s="751">
        <f>B51/$E$48</f>
        <v>0.68918918918918914</v>
      </c>
      <c r="D51" s="744">
        <f>'Dean''s Office '!D38+'Arch Eng Cons Science'!D59+'Bio Ag Engineering '!D57+'Chemical '!D57+Civil!D57+'Computer Science'!D67+'Electrical  Computer'!D66+'Industrial Manu'!D66+'Mechanical Nuclear'!D63</f>
        <v>116</v>
      </c>
      <c r="E51" s="751">
        <f>D51/$E$48</f>
        <v>0.78378378378378377</v>
      </c>
      <c r="F51" s="744">
        <f>'Dean''s Office '!F38+'Arch Eng Cons Science'!F59+'Bio Ag Engineering '!F57+'Chemical '!F57+Civil!F57+'Computer Science'!F67+'Electrical  Computer'!F66+'Industrial Manu'!F66+'Mechanical Nuclear'!F63</f>
        <v>110</v>
      </c>
      <c r="G51" s="751">
        <f>F51/$G$48</f>
        <v>0.7432432432432432</v>
      </c>
      <c r="H51" s="744">
        <f>'Dean''s Office '!H38+'Arch Eng Cons Science'!H59+'Bio Ag Engineering '!H57+'Chemical '!H57+Civil!H57+'Computer Science'!H67+'Electrical  Computer'!H66+'Industrial Manu'!H66+'Mechanical Nuclear'!H63</f>
        <v>101</v>
      </c>
      <c r="I51" s="751">
        <f>H51/$I$48</f>
        <v>0.74814814814814812</v>
      </c>
      <c r="J51" s="744">
        <f>'Dean''s Office '!J38+'Arch Eng Cons Science'!J59+'Bio Ag Engineering '!J57+'Chemical '!J57+Civil!J57+'Computer Science'!J67+'Electrical  Computer'!J66+'Industrial Manu'!J66+'Mechanical Nuclear'!J63</f>
        <v>105</v>
      </c>
      <c r="K51" s="751">
        <f>J51/$K$48</f>
        <v>0.75539568345323738</v>
      </c>
      <c r="L51" s="744">
        <f>'Dean''s Office '!L38+'Arch Eng Cons Science'!L59+'Bio Ag Engineering '!L57+'Chemical '!L57+Civil!L57+'Computer Science'!L67+'Electrical  Computer'!L66+'Industrial Manu'!L66+'Mechanical Nuclear'!L63</f>
        <v>107</v>
      </c>
      <c r="M51" s="751">
        <f>L51/$M$48</f>
        <v>0.75886524822695034</v>
      </c>
      <c r="N51" s="744">
        <f>'Dean''s Office '!N38+'Arch Eng Cons Science'!N59+'Bio Ag Engineering '!N57+'Chemical '!N57+Civil!N57+'Computer Science'!N67+'Electrical  Computer'!N66+'Industrial Manu'!N66+'Mechanical Nuclear'!N63</f>
        <v>107</v>
      </c>
      <c r="O51" s="751">
        <f>N51/$O$48</f>
        <v>0.74825174825174823</v>
      </c>
      <c r="P51" s="744">
        <f>'Dean''s Office '!P38+'Arch Eng Cons Science'!P59+'Bio Ag Engineering '!P57+'Chemical '!P57+Civil!P57+'Computer Science'!P67+'Electrical  Computer'!P66+'Industrial Manu'!P66+'Mechanical Nuclear'!P63</f>
        <v>106</v>
      </c>
      <c r="Q51" s="751">
        <f>P51/$Q$48</f>
        <v>0.73611111111111116</v>
      </c>
      <c r="R51" s="744">
        <f>'Dean''s Office '!R38+'Arch Eng Cons Science'!R59+'Bio Ag Engineering '!R57+'Chemical '!R57+Civil!R57+'Computer Science'!R67+'Electrical  Computer'!R66+'Industrial Manu'!R66+'Mechanical Nuclear'!R63</f>
        <v>102</v>
      </c>
      <c r="S51" s="751">
        <f>R51/$S$48</f>
        <v>0.70833333333333337</v>
      </c>
      <c r="T51" s="744">
        <f>'Dean''s Office '!T38+'Arch Eng Cons Science'!T59+'Bio Ag Engineering '!T57+'Chemical '!T57+Civil!T57+'Computer Science'!T67+'Electrical  Computer'!T66+'Industrial Manu'!T66+'Mechanical Nuclear'!T63</f>
        <v>0</v>
      </c>
      <c r="U51" s="752">
        <f>T51/$S$48</f>
        <v>0</v>
      </c>
      <c r="V51" s="66"/>
      <c r="W51" s="66"/>
    </row>
    <row r="52" spans="1:23" x14ac:dyDescent="0.2">
      <c r="A52" s="194" t="s">
        <v>46</v>
      </c>
      <c r="B52" s="744">
        <f>'Dean''s Office '!B39+'Arch Eng Cons Science'!B60+'Bio Ag Engineering '!B58+'Chemical '!B58+Civil!B58+'Computer Science'!B68+'Electrical  Computer'!B67+'Industrial Manu'!B67+'Mechanical Nuclear'!B64</f>
        <v>0</v>
      </c>
      <c r="C52" s="751">
        <f t="shared" ref="C52:C58" si="3">B52/$E$48</f>
        <v>0</v>
      </c>
      <c r="D52" s="744">
        <f>'Dean''s Office '!D39+'Arch Eng Cons Science'!D60+'Bio Ag Engineering '!D58+'Chemical '!D58+Civil!D58+'Computer Science'!D68+'Electrical  Computer'!D67+'Industrial Manu'!D67+'Mechanical Nuclear'!D64</f>
        <v>0</v>
      </c>
      <c r="E52" s="751">
        <f t="shared" ref="E52:E67" si="4">D52/$E$48</f>
        <v>0</v>
      </c>
      <c r="F52" s="744">
        <f>'Dean''s Office '!F39+'Arch Eng Cons Science'!F60+'Bio Ag Engineering '!F58+'Chemical '!F58+Civil!F58+'Computer Science'!F68+'Electrical  Computer'!F67+'Industrial Manu'!F67+'Mechanical Nuclear'!F64</f>
        <v>0</v>
      </c>
      <c r="G52" s="751">
        <f t="shared" ref="G52:G70" si="5">F52/$G$48</f>
        <v>0</v>
      </c>
      <c r="H52" s="744">
        <f>'Dean''s Office '!H39+'Arch Eng Cons Science'!H60+'Bio Ag Engineering '!H58+'Chemical '!H58+Civil!H58+'Computer Science'!H68+'Electrical  Computer'!H67+'Industrial Manu'!H67+'Mechanical Nuclear'!H64</f>
        <v>0</v>
      </c>
      <c r="I52" s="751">
        <f t="shared" ref="I52:I70" si="6">H52/$I$48</f>
        <v>0</v>
      </c>
      <c r="J52" s="744">
        <f>'Dean''s Office '!J39+'Arch Eng Cons Science'!J60+'Bio Ag Engineering '!J58+'Chemical '!J58+Civil!J58+'Computer Science'!J68+'Electrical  Computer'!J67+'Industrial Manu'!J67+'Mechanical Nuclear'!J64</f>
        <v>0</v>
      </c>
      <c r="K52" s="751">
        <f t="shared" ref="K52:K70" si="7">J52/$K$48</f>
        <v>0</v>
      </c>
      <c r="L52" s="744">
        <f>'Dean''s Office '!L39+'Arch Eng Cons Science'!L60+'Bio Ag Engineering '!L58+'Chemical '!L58+Civil!L58+'Computer Science'!L68+'Electrical  Computer'!L67+'Industrial Manu'!L67+'Mechanical Nuclear'!L64</f>
        <v>0</v>
      </c>
      <c r="M52" s="751">
        <f t="shared" ref="M52:M70" si="8">L52/$M$48</f>
        <v>0</v>
      </c>
      <c r="N52" s="744">
        <f>'Dean''s Office '!N39+'Arch Eng Cons Science'!N60+'Bio Ag Engineering '!N58+'Chemical '!N58+Civil!N58+'Computer Science'!N68+'Electrical  Computer'!N67+'Industrial Manu'!N67+'Mechanical Nuclear'!N64</f>
        <v>1</v>
      </c>
      <c r="O52" s="751">
        <f t="shared" ref="O52:O70" si="9">N52/$O$48</f>
        <v>6.993006993006993E-3</v>
      </c>
      <c r="P52" s="744">
        <f>'Dean''s Office '!P39+'Arch Eng Cons Science'!P60+'Bio Ag Engineering '!P58+'Chemical '!P58+Civil!P58+'Computer Science'!P68+'Electrical  Computer'!P67+'Industrial Manu'!P67+'Mechanical Nuclear'!P64</f>
        <v>1</v>
      </c>
      <c r="Q52" s="751">
        <f t="shared" ref="Q52:Q70" si="10">P52/$Q$48</f>
        <v>6.9444444444444441E-3</v>
      </c>
      <c r="R52" s="744">
        <f>'Dean''s Office '!R39+'Arch Eng Cons Science'!R60+'Bio Ag Engineering '!R58+'Chemical '!R58+Civil!R58+'Computer Science'!R68+'Electrical  Computer'!R67+'Industrial Manu'!R67+'Mechanical Nuclear'!R64</f>
        <v>1</v>
      </c>
      <c r="S52" s="751">
        <f t="shared" ref="S52:S70" si="11">R52/$S$48</f>
        <v>6.9444444444444441E-3</v>
      </c>
      <c r="T52" s="744">
        <f>'Dean''s Office '!T39+'Arch Eng Cons Science'!T60+'Bio Ag Engineering '!T58+'Chemical '!T58+Civil!T58+'Computer Science'!T68+'Electrical  Computer'!T67+'Industrial Manu'!T67+'Mechanical Nuclear'!T64</f>
        <v>0</v>
      </c>
      <c r="U52" s="752">
        <f t="shared" ref="U52:U58" si="12">T52/$S$48</f>
        <v>0</v>
      </c>
      <c r="V52" s="66"/>
      <c r="W52" s="66"/>
    </row>
    <row r="53" spans="1:23" x14ac:dyDescent="0.2">
      <c r="A53" s="194" t="s">
        <v>47</v>
      </c>
      <c r="B53" s="744">
        <f>'Dean''s Office '!B40+'Arch Eng Cons Science'!B61+'Bio Ag Engineering '!B59+'Chemical '!B59+Civil!B59+'Computer Science'!B69+'Electrical  Computer'!B68+'Industrial Manu'!B68+'Mechanical Nuclear'!B65</f>
        <v>0</v>
      </c>
      <c r="C53" s="751">
        <f t="shared" si="3"/>
        <v>0</v>
      </c>
      <c r="D53" s="744">
        <f>'Dean''s Office '!D40+'Arch Eng Cons Science'!D61+'Bio Ag Engineering '!D59+'Chemical '!D59+Civil!D59+'Computer Science'!D69+'Electrical  Computer'!D68+'Industrial Manu'!D68+'Mechanical Nuclear'!D65</f>
        <v>1</v>
      </c>
      <c r="E53" s="751">
        <f t="shared" si="4"/>
        <v>6.7567567567567571E-3</v>
      </c>
      <c r="F53" s="744">
        <f>'Dean''s Office '!F40+'Arch Eng Cons Science'!F61+'Bio Ag Engineering '!F59+'Chemical '!F59+Civil!F59+'Computer Science'!F69+'Electrical  Computer'!F68+'Industrial Manu'!F68+'Mechanical Nuclear'!F65</f>
        <v>1</v>
      </c>
      <c r="G53" s="751">
        <f t="shared" si="5"/>
        <v>6.7567567567567571E-3</v>
      </c>
      <c r="H53" s="744">
        <f>'Dean''s Office '!H40+'Arch Eng Cons Science'!H61+'Bio Ag Engineering '!H59+'Chemical '!H59+Civil!H59+'Computer Science'!H69+'Electrical  Computer'!H68+'Industrial Manu'!H68+'Mechanical Nuclear'!H65</f>
        <v>1</v>
      </c>
      <c r="I53" s="751">
        <f t="shared" si="6"/>
        <v>7.4074074074074077E-3</v>
      </c>
      <c r="J53" s="744">
        <f>'Dean''s Office '!J40+'Arch Eng Cons Science'!J61+'Bio Ag Engineering '!J59+'Chemical '!J59+Civil!J59+'Computer Science'!J69+'Electrical  Computer'!J68+'Industrial Manu'!J68+'Mechanical Nuclear'!J65</f>
        <v>0</v>
      </c>
      <c r="K53" s="751">
        <f t="shared" si="7"/>
        <v>0</v>
      </c>
      <c r="L53" s="744">
        <f>'Dean''s Office '!L40+'Arch Eng Cons Science'!L61+'Bio Ag Engineering '!L59+'Chemical '!L59+Civil!L59+'Computer Science'!L69+'Electrical  Computer'!L68+'Industrial Manu'!L68+'Mechanical Nuclear'!L65</f>
        <v>0</v>
      </c>
      <c r="M53" s="751">
        <f t="shared" si="8"/>
        <v>0</v>
      </c>
      <c r="N53" s="744">
        <f>'Dean''s Office '!N40+'Arch Eng Cons Science'!N61+'Bio Ag Engineering '!N59+'Chemical '!N59+Civil!N59+'Computer Science'!N69+'Electrical  Computer'!N68+'Industrial Manu'!N68+'Mechanical Nuclear'!N65</f>
        <v>0</v>
      </c>
      <c r="O53" s="751">
        <f t="shared" si="9"/>
        <v>0</v>
      </c>
      <c r="P53" s="744">
        <f>'Dean''s Office '!P40+'Arch Eng Cons Science'!P61+'Bio Ag Engineering '!P59+'Chemical '!P59+Civil!P59+'Computer Science'!P69+'Electrical  Computer'!P68+'Industrial Manu'!P68+'Mechanical Nuclear'!P65</f>
        <v>0</v>
      </c>
      <c r="Q53" s="751">
        <f t="shared" si="10"/>
        <v>0</v>
      </c>
      <c r="R53" s="744">
        <f>'Dean''s Office '!R40+'Arch Eng Cons Science'!R61+'Bio Ag Engineering '!R59+'Chemical '!R59+Civil!R59+'Computer Science'!R69+'Electrical  Computer'!R68+'Industrial Manu'!R68+'Mechanical Nuclear'!R65</f>
        <v>0</v>
      </c>
      <c r="S53" s="751">
        <f t="shared" si="11"/>
        <v>0</v>
      </c>
      <c r="T53" s="744">
        <f>'Dean''s Office '!T40+'Arch Eng Cons Science'!T61+'Bio Ag Engineering '!T59+'Chemical '!T59+Civil!T59+'Computer Science'!T69+'Electrical  Computer'!T68+'Industrial Manu'!T68+'Mechanical Nuclear'!T65</f>
        <v>0</v>
      </c>
      <c r="U53" s="752">
        <f t="shared" si="12"/>
        <v>0</v>
      </c>
      <c r="V53" s="66"/>
      <c r="W53" s="66"/>
    </row>
    <row r="54" spans="1:23" x14ac:dyDescent="0.2">
      <c r="A54" s="194" t="s">
        <v>48</v>
      </c>
      <c r="B54" s="744">
        <f>'Dean''s Office '!B41+'Arch Eng Cons Science'!B62+'Bio Ag Engineering '!B60+'Chemical '!B60+Civil!B60+'Computer Science'!B70+'Electrical  Computer'!B69+'Industrial Manu'!B69+'Mechanical Nuclear'!B66</f>
        <v>0</v>
      </c>
      <c r="C54" s="751">
        <f t="shared" si="3"/>
        <v>0</v>
      </c>
      <c r="D54" s="744">
        <f>'Dean''s Office '!D41+'Arch Eng Cons Science'!D62+'Bio Ag Engineering '!D60+'Chemical '!D60+Civil!D60+'Computer Science'!D70+'Electrical  Computer'!D69+'Industrial Manu'!D69+'Mechanical Nuclear'!D66</f>
        <v>0</v>
      </c>
      <c r="E54" s="751">
        <f t="shared" si="4"/>
        <v>0</v>
      </c>
      <c r="F54" s="744">
        <f>'Dean''s Office '!F41+'Arch Eng Cons Science'!F62+'Bio Ag Engineering '!F60+'Chemical '!F60+Civil!F60+'Computer Science'!F70+'Electrical  Computer'!F69+'Industrial Manu'!F69+'Mechanical Nuclear'!F66</f>
        <v>0</v>
      </c>
      <c r="G54" s="751">
        <f t="shared" si="5"/>
        <v>0</v>
      </c>
      <c r="H54" s="744">
        <f>'Dean''s Office '!H41+'Arch Eng Cons Science'!H62+'Bio Ag Engineering '!H60+'Chemical '!H60+Civil!H60+'Computer Science'!H70+'Electrical  Computer'!H69+'Industrial Manu'!H69+'Mechanical Nuclear'!H66</f>
        <v>0</v>
      </c>
      <c r="I54" s="751">
        <f t="shared" si="6"/>
        <v>0</v>
      </c>
      <c r="J54" s="744">
        <f>'Dean''s Office '!J41+'Arch Eng Cons Science'!J62+'Bio Ag Engineering '!J60+'Chemical '!J60+Civil!J60+'Computer Science'!J70+'Electrical  Computer'!J69+'Industrial Manu'!J69+'Mechanical Nuclear'!J66</f>
        <v>0</v>
      </c>
      <c r="K54" s="751">
        <f t="shared" si="7"/>
        <v>0</v>
      </c>
      <c r="L54" s="744">
        <f>'Dean''s Office '!L41+'Arch Eng Cons Science'!L62+'Bio Ag Engineering '!L60+'Chemical '!L60+Civil!L60+'Computer Science'!L70+'Electrical  Computer'!L69+'Industrial Manu'!L69+'Mechanical Nuclear'!L66</f>
        <v>0</v>
      </c>
      <c r="M54" s="751">
        <f t="shared" si="8"/>
        <v>0</v>
      </c>
      <c r="N54" s="744">
        <f>'Dean''s Office '!N41+'Arch Eng Cons Science'!N62+'Bio Ag Engineering '!N60+'Chemical '!N60+Civil!N60+'Computer Science'!N70+'Electrical  Computer'!N69+'Industrial Manu'!N69+'Mechanical Nuclear'!N66</f>
        <v>0</v>
      </c>
      <c r="O54" s="751">
        <f t="shared" si="9"/>
        <v>0</v>
      </c>
      <c r="P54" s="744">
        <f>'Dean''s Office '!P41+'Arch Eng Cons Science'!P62+'Bio Ag Engineering '!P60+'Chemical '!P60+Civil!P60+'Computer Science'!P70+'Electrical  Computer'!P69+'Industrial Manu'!P69+'Mechanical Nuclear'!P66</f>
        <v>0</v>
      </c>
      <c r="Q54" s="751">
        <f t="shared" si="10"/>
        <v>0</v>
      </c>
      <c r="R54" s="744">
        <f>'Dean''s Office '!R41+'Arch Eng Cons Science'!R62+'Bio Ag Engineering '!R60+'Chemical '!R60+Civil!R60+'Computer Science'!R70+'Electrical  Computer'!R69+'Industrial Manu'!R69+'Mechanical Nuclear'!R66</f>
        <v>0</v>
      </c>
      <c r="S54" s="751">
        <f t="shared" si="11"/>
        <v>0</v>
      </c>
      <c r="T54" s="744">
        <f>'Dean''s Office '!T41+'Arch Eng Cons Science'!T62+'Bio Ag Engineering '!T60+'Chemical '!T60+Civil!T60+'Computer Science'!T70+'Electrical  Computer'!T69+'Industrial Manu'!T69+'Mechanical Nuclear'!T66</f>
        <v>0</v>
      </c>
      <c r="U54" s="752">
        <f t="shared" si="12"/>
        <v>0</v>
      </c>
      <c r="V54" s="66"/>
      <c r="W54" s="66"/>
    </row>
    <row r="55" spans="1:23" x14ac:dyDescent="0.2">
      <c r="A55" s="194" t="s">
        <v>49</v>
      </c>
      <c r="B55" s="744">
        <f>'Dean''s Office '!B42+'Arch Eng Cons Science'!B63+'Bio Ag Engineering '!B61+'Chemical '!B61+Civil!B61+'Computer Science'!B71+'Electrical  Computer'!B70+'Industrial Manu'!B70+'Mechanical Nuclear'!B67</f>
        <v>30</v>
      </c>
      <c r="C55" s="751">
        <f t="shared" si="3"/>
        <v>0.20270270270270271</v>
      </c>
      <c r="D55" s="744">
        <f>'Dean''s Office '!D42+'Arch Eng Cons Science'!D63+'Bio Ag Engineering '!D61+'Chemical '!D61+Civil!D61+'Computer Science'!D71+'Electrical  Computer'!D70+'Industrial Manu'!D70+'Mechanical Nuclear'!D67</f>
        <v>25</v>
      </c>
      <c r="E55" s="751">
        <f t="shared" si="4"/>
        <v>0.16891891891891891</v>
      </c>
      <c r="F55" s="744">
        <f>'Dean''s Office '!F42+'Arch Eng Cons Science'!F63+'Bio Ag Engineering '!F61+'Chemical '!F61+Civil!F61+'Computer Science'!F71+'Electrical  Computer'!F70+'Industrial Manu'!F70+'Mechanical Nuclear'!F67</f>
        <v>30</v>
      </c>
      <c r="G55" s="751">
        <f t="shared" si="5"/>
        <v>0.20270270270270271</v>
      </c>
      <c r="H55" s="744">
        <f>'Dean''s Office '!H42+'Arch Eng Cons Science'!H63+'Bio Ag Engineering '!H61+'Chemical '!H61+Civil!H61+'Computer Science'!H71+'Electrical  Computer'!H70+'Industrial Manu'!H70+'Mechanical Nuclear'!H67</f>
        <v>27</v>
      </c>
      <c r="I55" s="751">
        <f t="shared" si="6"/>
        <v>0.2</v>
      </c>
      <c r="J55" s="744">
        <f>'Dean''s Office '!J42+'Arch Eng Cons Science'!J63+'Bio Ag Engineering '!J61+'Chemical '!J61+Civil!J61+'Computer Science'!J71+'Electrical  Computer'!J70+'Industrial Manu'!J70+'Mechanical Nuclear'!J67</f>
        <v>26</v>
      </c>
      <c r="K55" s="751">
        <f t="shared" si="7"/>
        <v>0.18705035971223022</v>
      </c>
      <c r="L55" s="744">
        <f>'Dean''s Office '!L42+'Arch Eng Cons Science'!L63+'Bio Ag Engineering '!L61+'Chemical '!L61+Civil!L61+'Computer Science'!L71+'Electrical  Computer'!L70+'Industrial Manu'!L70+'Mechanical Nuclear'!L67</f>
        <v>28</v>
      </c>
      <c r="M55" s="751">
        <f t="shared" si="8"/>
        <v>0.19858156028368795</v>
      </c>
      <c r="N55" s="744">
        <f>'Dean''s Office '!N42+'Arch Eng Cons Science'!N63+'Bio Ag Engineering '!N61+'Chemical '!N61+Civil!N61+'Computer Science'!N71+'Electrical  Computer'!N70+'Industrial Manu'!N70+'Mechanical Nuclear'!N67</f>
        <v>29</v>
      </c>
      <c r="O55" s="751">
        <f t="shared" si="9"/>
        <v>0.20279720279720279</v>
      </c>
      <c r="P55" s="744">
        <f>'Dean''s Office '!P42+'Arch Eng Cons Science'!P63+'Bio Ag Engineering '!P61+'Chemical '!P61+Civil!P61+'Computer Science'!P71+'Electrical  Computer'!P70+'Industrial Manu'!P70+'Mechanical Nuclear'!P67</f>
        <v>27</v>
      </c>
      <c r="Q55" s="751">
        <f t="shared" si="10"/>
        <v>0.1875</v>
      </c>
      <c r="R55" s="744">
        <f>'Dean''s Office '!R42+'Arch Eng Cons Science'!R63+'Bio Ag Engineering '!R61+'Chemical '!R61+Civil!R61+'Computer Science'!R71+'Electrical  Computer'!R70+'Industrial Manu'!R70+'Mechanical Nuclear'!R67</f>
        <v>27</v>
      </c>
      <c r="S55" s="751">
        <f t="shared" si="11"/>
        <v>0.1875</v>
      </c>
      <c r="T55" s="744">
        <f>'Dean''s Office '!T42+'Arch Eng Cons Science'!T63+'Bio Ag Engineering '!T61+'Chemical '!T61+Civil!T61+'Computer Science'!T71+'Electrical  Computer'!T70+'Industrial Manu'!T70+'Mechanical Nuclear'!T67</f>
        <v>0</v>
      </c>
      <c r="U55" s="752">
        <f t="shared" si="12"/>
        <v>0</v>
      </c>
      <c r="V55" s="66"/>
      <c r="W55" s="66"/>
    </row>
    <row r="56" spans="1:23" x14ac:dyDescent="0.2">
      <c r="A56" s="194" t="s">
        <v>50</v>
      </c>
      <c r="B56" s="744">
        <f>'Dean''s Office '!B43+'Arch Eng Cons Science'!B64+'Bio Ag Engineering '!B62+'Chemical '!B62+Civil!B62+'Computer Science'!B72+'Electrical  Computer'!B71+'Industrial Manu'!B71+'Mechanical Nuclear'!B68</f>
        <v>6</v>
      </c>
      <c r="C56" s="751">
        <f t="shared" si="3"/>
        <v>4.0540540540540543E-2</v>
      </c>
      <c r="D56" s="744">
        <f>'Dean''s Office '!D43+'Arch Eng Cons Science'!D64+'Bio Ag Engineering '!D62+'Chemical '!D62+Civil!D62+'Computer Science'!D72+'Electrical  Computer'!D71+'Industrial Manu'!D71+'Mechanical Nuclear'!D68</f>
        <v>6</v>
      </c>
      <c r="E56" s="751">
        <f t="shared" si="4"/>
        <v>4.0540540540540543E-2</v>
      </c>
      <c r="F56" s="744">
        <f>'Dean''s Office '!F43+'Arch Eng Cons Science'!F64+'Bio Ag Engineering '!F62+'Chemical '!F62+Civil!F62+'Computer Science'!F72+'Electrical  Computer'!F71+'Industrial Manu'!F71+'Mechanical Nuclear'!F68</f>
        <v>7</v>
      </c>
      <c r="G56" s="751">
        <f t="shared" si="5"/>
        <v>4.72972972972973E-2</v>
      </c>
      <c r="H56" s="744">
        <f>'Dean''s Office '!H43+'Arch Eng Cons Science'!H64+'Bio Ag Engineering '!H62+'Chemical '!H62+Civil!H62+'Computer Science'!H72+'Electrical  Computer'!H71+'Industrial Manu'!H71+'Mechanical Nuclear'!H68</f>
        <v>5</v>
      </c>
      <c r="I56" s="751">
        <f t="shared" si="6"/>
        <v>3.7037037037037035E-2</v>
      </c>
      <c r="J56" s="744">
        <f>'Dean''s Office '!J43+'Arch Eng Cons Science'!J64+'Bio Ag Engineering '!J62+'Chemical '!J62+Civil!J62+'Computer Science'!J72+'Electrical  Computer'!J71+'Industrial Manu'!J71+'Mechanical Nuclear'!J68</f>
        <v>7</v>
      </c>
      <c r="K56" s="751">
        <f t="shared" si="7"/>
        <v>5.0359712230215826E-2</v>
      </c>
      <c r="L56" s="744">
        <f>'Dean''s Office '!L43+'Arch Eng Cons Science'!L64+'Bio Ag Engineering '!L62+'Chemical '!L62+Civil!L62+'Computer Science'!L72+'Electrical  Computer'!L71+'Industrial Manu'!L71+'Mechanical Nuclear'!L68</f>
        <v>5</v>
      </c>
      <c r="M56" s="751">
        <f t="shared" si="8"/>
        <v>3.5460992907801421E-2</v>
      </c>
      <c r="N56" s="744">
        <f>'Dean''s Office '!N43+'Arch Eng Cons Science'!N64+'Bio Ag Engineering '!N62+'Chemical '!N62+Civil!N62+'Computer Science'!N72+'Electrical  Computer'!N71+'Industrial Manu'!N71+'Mechanical Nuclear'!N68</f>
        <v>5</v>
      </c>
      <c r="O56" s="751">
        <f t="shared" si="9"/>
        <v>3.4965034965034968E-2</v>
      </c>
      <c r="P56" s="744">
        <f>'Dean''s Office '!P43+'Arch Eng Cons Science'!P64+'Bio Ag Engineering '!P62+'Chemical '!P62+Civil!P62+'Computer Science'!P72+'Electrical  Computer'!P71+'Industrial Manu'!P71+'Mechanical Nuclear'!P68</f>
        <v>10</v>
      </c>
      <c r="Q56" s="751">
        <f t="shared" si="10"/>
        <v>6.9444444444444448E-2</v>
      </c>
      <c r="R56" s="744">
        <f>'Dean''s Office '!R43+'Arch Eng Cons Science'!R64+'Bio Ag Engineering '!R62+'Chemical '!R62+Civil!R62+'Computer Science'!R72+'Electrical  Computer'!R71+'Industrial Manu'!R71+'Mechanical Nuclear'!R68</f>
        <v>13</v>
      </c>
      <c r="S56" s="751">
        <f t="shared" si="11"/>
        <v>9.0277777777777776E-2</v>
      </c>
      <c r="T56" s="744">
        <f>'Dean''s Office '!T43+'Arch Eng Cons Science'!T64+'Bio Ag Engineering '!T62+'Chemical '!T62+Civil!T62+'Computer Science'!T72+'Electrical  Computer'!T71+'Industrial Manu'!T71+'Mechanical Nuclear'!T68</f>
        <v>0</v>
      </c>
      <c r="U56" s="752">
        <f t="shared" si="12"/>
        <v>0</v>
      </c>
      <c r="V56" s="66"/>
      <c r="W56" s="66"/>
    </row>
    <row r="57" spans="1:23" x14ac:dyDescent="0.2">
      <c r="A57" s="194" t="s">
        <v>51</v>
      </c>
      <c r="B57" s="744">
        <f>'Dean''s Office '!B44+'Arch Eng Cons Science'!B65+'Bio Ag Engineering '!B63+'Chemical '!B63+Civil!B63+'Computer Science'!B73+'Electrical  Computer'!B72+'Industrial Manu'!B72+'Mechanical Nuclear'!B69</f>
        <v>0</v>
      </c>
      <c r="C57" s="751">
        <f t="shared" si="3"/>
        <v>0</v>
      </c>
      <c r="D57" s="744">
        <f>'Dean''s Office '!D44+'Arch Eng Cons Science'!D65+'Bio Ag Engineering '!D63+'Chemical '!D63+Civil!D63+'Computer Science'!D73+'Electrical  Computer'!D72+'Industrial Manu'!D72+'Mechanical Nuclear'!D69</f>
        <v>0</v>
      </c>
      <c r="E57" s="751">
        <f t="shared" si="4"/>
        <v>0</v>
      </c>
      <c r="F57" s="744">
        <f>'Dean''s Office '!F44+'Arch Eng Cons Science'!F65+'Bio Ag Engineering '!F63+'Chemical '!F63+Civil!F63+'Computer Science'!F73+'Electrical  Computer'!F72+'Industrial Manu'!F72+'Mechanical Nuclear'!F69</f>
        <v>0</v>
      </c>
      <c r="G57" s="751">
        <f t="shared" si="5"/>
        <v>0</v>
      </c>
      <c r="H57" s="744">
        <f>'Dean''s Office '!H44+'Arch Eng Cons Science'!H65+'Bio Ag Engineering '!H63+'Chemical '!H63+Civil!H63+'Computer Science'!H73+'Electrical  Computer'!H72+'Industrial Manu'!H72+'Mechanical Nuclear'!H69</f>
        <v>1</v>
      </c>
      <c r="I57" s="751">
        <f t="shared" si="6"/>
        <v>7.4074074074074077E-3</v>
      </c>
      <c r="J57" s="744">
        <f>'Dean''s Office '!J44+'Arch Eng Cons Science'!J65+'Bio Ag Engineering '!J63+'Chemical '!J63+Civil!J63+'Computer Science'!J73+'Electrical  Computer'!J72+'Industrial Manu'!J72+'Mechanical Nuclear'!J69</f>
        <v>1</v>
      </c>
      <c r="K57" s="751">
        <f t="shared" si="7"/>
        <v>7.1942446043165471E-3</v>
      </c>
      <c r="L57" s="744">
        <f>'Dean''s Office '!L44+'Arch Eng Cons Science'!L65+'Bio Ag Engineering '!L63+'Chemical '!L63+Civil!L63+'Computer Science'!L73+'Electrical  Computer'!L72+'Industrial Manu'!L72+'Mechanical Nuclear'!L69</f>
        <v>1</v>
      </c>
      <c r="M57" s="751">
        <f t="shared" si="8"/>
        <v>7.0921985815602835E-3</v>
      </c>
      <c r="N57" s="744">
        <f>'Dean''s Office '!N44+'Arch Eng Cons Science'!N65+'Bio Ag Engineering '!N63+'Chemical '!N63+Civil!N63+'Computer Science'!N73+'Electrical  Computer'!N72+'Industrial Manu'!N72+'Mechanical Nuclear'!N69</f>
        <v>1</v>
      </c>
      <c r="O57" s="751">
        <f t="shared" si="9"/>
        <v>6.993006993006993E-3</v>
      </c>
      <c r="P57" s="744">
        <f>'Dean''s Office '!P44+'Arch Eng Cons Science'!P65+'Bio Ag Engineering '!P63+'Chemical '!P63+Civil!P63+'Computer Science'!P73+'Electrical  Computer'!P72+'Industrial Manu'!P72+'Mechanical Nuclear'!P69</f>
        <v>0</v>
      </c>
      <c r="Q57" s="751">
        <f t="shared" si="10"/>
        <v>0</v>
      </c>
      <c r="R57" s="744">
        <f>'Dean''s Office '!R44+'Arch Eng Cons Science'!R65+'Bio Ag Engineering '!R63+'Chemical '!R63+Civil!R63+'Computer Science'!R73+'Electrical  Computer'!R72+'Industrial Manu'!R72+'Mechanical Nuclear'!R69</f>
        <v>0</v>
      </c>
      <c r="S57" s="751">
        <f t="shared" si="11"/>
        <v>0</v>
      </c>
      <c r="T57" s="744">
        <f>'Dean''s Office '!T44+'Arch Eng Cons Science'!T65+'Bio Ag Engineering '!T63+'Chemical '!T63+Civil!T63+'Computer Science'!T73+'Electrical  Computer'!T72+'Industrial Manu'!T72+'Mechanical Nuclear'!T69</f>
        <v>0</v>
      </c>
      <c r="U57" s="752">
        <f t="shared" si="12"/>
        <v>0</v>
      </c>
      <c r="V57" s="66"/>
      <c r="W57" s="66"/>
    </row>
    <row r="58" spans="1:23" ht="13.5" thickBot="1" x14ac:dyDescent="0.25">
      <c r="A58" s="194" t="s">
        <v>52</v>
      </c>
      <c r="B58" s="747">
        <f>'Dean''s Office '!B45+'Arch Eng Cons Science'!B66+'Bio Ag Engineering '!B64+'Chemical '!B64+Civil!B64+'Computer Science'!B74+'Electrical  Computer'!B73+'Industrial Manu'!B73+'Mechanical Nuclear'!B70</f>
        <v>0</v>
      </c>
      <c r="C58" s="753">
        <f t="shared" si="3"/>
        <v>0</v>
      </c>
      <c r="D58" s="747">
        <f>'Dean''s Office '!D45+'Arch Eng Cons Science'!D66+'Bio Ag Engineering '!D64+'Chemical '!D64+Civil!D64+'Computer Science'!D74+'Electrical  Computer'!D73+'Industrial Manu'!D73+'Mechanical Nuclear'!D70</f>
        <v>0</v>
      </c>
      <c r="E58" s="753">
        <f t="shared" si="4"/>
        <v>0</v>
      </c>
      <c r="F58" s="747">
        <f>'Dean''s Office '!F45+'Arch Eng Cons Science'!F66+'Bio Ag Engineering '!F64+'Chemical '!F64+Civil!F64+'Computer Science'!F74+'Electrical  Computer'!F73+'Industrial Manu'!F73+'Mechanical Nuclear'!F70</f>
        <v>0</v>
      </c>
      <c r="G58" s="753">
        <f t="shared" si="5"/>
        <v>0</v>
      </c>
      <c r="H58" s="747">
        <f>'Dean''s Office '!H45+'Arch Eng Cons Science'!H66+'Bio Ag Engineering '!H64+'Chemical '!H64+Civil!H64+'Computer Science'!H74+'Electrical  Computer'!H73+'Industrial Manu'!H73+'Mechanical Nuclear'!H70</f>
        <v>0</v>
      </c>
      <c r="I58" s="753">
        <f t="shared" si="6"/>
        <v>0</v>
      </c>
      <c r="J58" s="747">
        <f>'Dean''s Office '!J45+'Arch Eng Cons Science'!J66+'Bio Ag Engineering '!J64+'Chemical '!J64+Civil!J64+'Computer Science'!J74+'Electrical  Computer'!J73+'Industrial Manu'!J73+'Mechanical Nuclear'!J70</f>
        <v>0</v>
      </c>
      <c r="K58" s="753">
        <f t="shared" si="7"/>
        <v>0</v>
      </c>
      <c r="L58" s="747">
        <f>'Dean''s Office '!L45+'Arch Eng Cons Science'!L66+'Bio Ag Engineering '!L64+'Chemical '!L64+Civil!L64+'Computer Science'!L74+'Electrical  Computer'!L73+'Industrial Manu'!L73+'Mechanical Nuclear'!L70</f>
        <v>0</v>
      </c>
      <c r="M58" s="753">
        <f t="shared" si="8"/>
        <v>0</v>
      </c>
      <c r="N58" s="747">
        <f>'Dean''s Office '!N45+'Arch Eng Cons Science'!N66+'Bio Ag Engineering '!N64+'Chemical '!N64+Civil!N64+'Computer Science'!N74+'Electrical  Computer'!N73+'Industrial Manu'!N73+'Mechanical Nuclear'!N70</f>
        <v>0</v>
      </c>
      <c r="O58" s="753">
        <f t="shared" si="9"/>
        <v>0</v>
      </c>
      <c r="P58" s="747">
        <f>'Dean''s Office '!P45+'Arch Eng Cons Science'!P66+'Bio Ag Engineering '!P64+'Chemical '!P64+Civil!P64+'Computer Science'!P74+'Electrical  Computer'!P73+'Industrial Manu'!P73+'Mechanical Nuclear'!P70</f>
        <v>0</v>
      </c>
      <c r="Q58" s="753">
        <f t="shared" si="10"/>
        <v>0</v>
      </c>
      <c r="R58" s="747">
        <f>'Dean''s Office '!R45+'Arch Eng Cons Science'!R66+'Bio Ag Engineering '!R64+'Chemical '!R64+Civil!R64+'Computer Science'!R74+'Electrical  Computer'!R73+'Industrial Manu'!R73+'Mechanical Nuclear'!R70</f>
        <v>1</v>
      </c>
      <c r="S58" s="753">
        <f t="shared" si="11"/>
        <v>6.9444444444444441E-3</v>
      </c>
      <c r="T58" s="747">
        <f>'Dean''s Office '!T45+'Arch Eng Cons Science'!T66+'Bio Ag Engineering '!T64+'Chemical '!T64+Civil!T64+'Computer Science'!T74+'Electrical  Computer'!T73+'Industrial Manu'!T73+'Mechanical Nuclear'!T70</f>
        <v>0</v>
      </c>
      <c r="U58" s="754">
        <f t="shared" si="12"/>
        <v>0</v>
      </c>
      <c r="V58" s="66"/>
      <c r="W58" s="66"/>
    </row>
    <row r="59" spans="1:23" x14ac:dyDescent="0.2">
      <c r="A59" s="739" t="s">
        <v>53</v>
      </c>
      <c r="B59" s="755"/>
      <c r="C59" s="756"/>
      <c r="D59" s="755"/>
      <c r="E59" s="756"/>
      <c r="F59" s="755"/>
      <c r="G59" s="756"/>
      <c r="H59" s="755"/>
      <c r="I59" s="756"/>
      <c r="J59" s="755"/>
      <c r="K59" s="756"/>
      <c r="L59" s="755"/>
      <c r="M59" s="756"/>
      <c r="N59" s="755"/>
      <c r="O59" s="756"/>
      <c r="P59" s="755"/>
      <c r="Q59" s="756"/>
      <c r="R59" s="755"/>
      <c r="S59" s="756"/>
      <c r="T59" s="755"/>
      <c r="U59" s="725"/>
      <c r="V59" s="66"/>
      <c r="W59" s="66"/>
    </row>
    <row r="60" spans="1:23" x14ac:dyDescent="0.2">
      <c r="A60" s="186" t="s">
        <v>54</v>
      </c>
      <c r="B60" s="744">
        <f>'Dean''s Office '!B47+'Arch Eng Cons Science'!B68+'Bio Ag Engineering '!B66+'Chemical '!B66+Civil!B66+'Computer Science'!B76+'Electrical  Computer'!B75+'Industrial Manu'!B75+'Mechanical Nuclear'!B72</f>
        <v>118</v>
      </c>
      <c r="C60" s="751">
        <f t="shared" ref="C60:C61" si="13">B60/$E$48</f>
        <v>0.79729729729729726</v>
      </c>
      <c r="D60" s="744">
        <f>'Dean''s Office '!D47+'Arch Eng Cons Science'!D68+'Bio Ag Engineering '!D66+'Chemical '!D66+Civil!D66+'Computer Science'!D76+'Electrical  Computer'!D75+'Industrial Manu'!D75+'Mechanical Nuclear'!D72</f>
        <v>126</v>
      </c>
      <c r="E60" s="751">
        <f t="shared" si="4"/>
        <v>0.85135135135135132</v>
      </c>
      <c r="F60" s="744">
        <f>'Dean''s Office '!F47+'Arch Eng Cons Science'!F68+'Bio Ag Engineering '!F66+'Chemical '!F66+Civil!F66+'Computer Science'!F76+'Electrical  Computer'!F75+'Industrial Manu'!F75+'Mechanical Nuclear'!F72</f>
        <v>126</v>
      </c>
      <c r="G60" s="751">
        <f t="shared" si="5"/>
        <v>0.85135135135135132</v>
      </c>
      <c r="H60" s="744">
        <f>'Dean''s Office '!H47+'Arch Eng Cons Science'!H68+'Bio Ag Engineering '!H66+'Chemical '!H66+Civil!H66+'Computer Science'!H76+'Electrical  Computer'!H75+'Industrial Manu'!H75+'Mechanical Nuclear'!H72</f>
        <v>116</v>
      </c>
      <c r="I60" s="751">
        <f t="shared" si="6"/>
        <v>0.85925925925925928</v>
      </c>
      <c r="J60" s="744">
        <f>'Dean''s Office '!J47+'Arch Eng Cons Science'!J68+'Bio Ag Engineering '!J66+'Chemical '!J66+Civil!J66+'Computer Science'!J76+'Electrical  Computer'!J75+'Industrial Manu'!J75+'Mechanical Nuclear'!J72</f>
        <v>116</v>
      </c>
      <c r="K60" s="751">
        <f t="shared" si="7"/>
        <v>0.83453237410071945</v>
      </c>
      <c r="L60" s="744">
        <f>'Dean''s Office '!L47+'Arch Eng Cons Science'!L68+'Bio Ag Engineering '!L66+'Chemical '!L66+Civil!L66+'Computer Science'!L76+'Electrical  Computer'!L75+'Industrial Manu'!L75+'Mechanical Nuclear'!L72</f>
        <v>118</v>
      </c>
      <c r="M60" s="751">
        <f t="shared" si="8"/>
        <v>0.83687943262411346</v>
      </c>
      <c r="N60" s="744">
        <f>'Dean''s Office '!N47+'Arch Eng Cons Science'!N68+'Bio Ag Engineering '!N66+'Chemical '!N66+Civil!N66+'Computer Science'!N76+'Electrical  Computer'!N75+'Industrial Manu'!N75+'Mechanical Nuclear'!N72</f>
        <v>119</v>
      </c>
      <c r="O60" s="751">
        <f t="shared" si="9"/>
        <v>0.83216783216783219</v>
      </c>
      <c r="P60" s="744">
        <f>'Dean''s Office '!P47+'Arch Eng Cons Science'!P68+'Bio Ag Engineering '!P66+'Chemical '!P66+Civil!P66+'Computer Science'!P76+'Electrical  Computer'!P75+'Industrial Manu'!P75+'Mechanical Nuclear'!P72</f>
        <v>120</v>
      </c>
      <c r="Q60" s="751">
        <f t="shared" si="10"/>
        <v>0.83333333333333337</v>
      </c>
      <c r="R60" s="744">
        <f>'Dean''s Office '!R47+'Arch Eng Cons Science'!R68+'Bio Ag Engineering '!R66+'Chemical '!R66+Civil!R66+'Computer Science'!R76+'Electrical  Computer'!R75+'Industrial Manu'!R75+'Mechanical Nuclear'!R72</f>
        <v>117</v>
      </c>
      <c r="S60" s="751">
        <f t="shared" si="11"/>
        <v>0.8125</v>
      </c>
      <c r="T60" s="744">
        <f>'Dean''s Office '!T47+'Arch Eng Cons Science'!T68+'Bio Ag Engineering '!T66+'Chemical '!T66+Civil!T66+'Computer Science'!T76+'Electrical  Computer'!T75+'Industrial Manu'!T75+'Mechanical Nuclear'!T72</f>
        <v>0</v>
      </c>
      <c r="U60" s="752">
        <f t="shared" ref="U60:U61" si="14">T60/$S$48</f>
        <v>0</v>
      </c>
      <c r="V60" s="66"/>
      <c r="W60" s="66"/>
    </row>
    <row r="61" spans="1:23" ht="13.5" thickBot="1" x14ac:dyDescent="0.25">
      <c r="A61" s="194" t="s">
        <v>55</v>
      </c>
      <c r="B61" s="747">
        <f>'Dean''s Office '!B48+'Arch Eng Cons Science'!B69+'Bio Ag Engineering '!B67+'Chemical '!B67+Civil!B67+'Computer Science'!B77+'Electrical  Computer'!B76+'Industrial Manu'!B76+'Mechanical Nuclear'!B73</f>
        <v>20</v>
      </c>
      <c r="C61" s="753">
        <f t="shared" si="13"/>
        <v>0.13513513513513514</v>
      </c>
      <c r="D61" s="747">
        <f>'Dean''s Office '!D48+'Arch Eng Cons Science'!D69+'Bio Ag Engineering '!D67+'Chemical '!D67+Civil!D67+'Computer Science'!D77+'Electrical  Computer'!D76+'Industrial Manu'!D76+'Mechanical Nuclear'!D73</f>
        <v>22</v>
      </c>
      <c r="E61" s="753">
        <f t="shared" si="4"/>
        <v>0.14864864864864866</v>
      </c>
      <c r="F61" s="747">
        <f>'Dean''s Office '!F48+'Arch Eng Cons Science'!F69+'Bio Ag Engineering '!F67+'Chemical '!F67+Civil!F67+'Computer Science'!F77+'Electrical  Computer'!F76+'Industrial Manu'!F76+'Mechanical Nuclear'!F73</f>
        <v>22</v>
      </c>
      <c r="G61" s="753">
        <f t="shared" si="5"/>
        <v>0.14864864864864866</v>
      </c>
      <c r="H61" s="747">
        <f>'Dean''s Office '!H48+'Arch Eng Cons Science'!H69+'Bio Ag Engineering '!H67+'Chemical '!H67+Civil!H67+'Computer Science'!H77+'Electrical  Computer'!H76+'Industrial Manu'!H76+'Mechanical Nuclear'!H73</f>
        <v>19</v>
      </c>
      <c r="I61" s="753">
        <f t="shared" si="6"/>
        <v>0.14074074074074075</v>
      </c>
      <c r="J61" s="747">
        <f>'Dean''s Office '!J48+'Arch Eng Cons Science'!J69+'Bio Ag Engineering '!J67+'Chemical '!J67+Civil!J67+'Computer Science'!J77+'Electrical  Computer'!J76+'Industrial Manu'!J76+'Mechanical Nuclear'!J73</f>
        <v>23</v>
      </c>
      <c r="K61" s="753">
        <f t="shared" si="7"/>
        <v>0.16546762589928057</v>
      </c>
      <c r="L61" s="747">
        <f>'Dean''s Office '!L48+'Arch Eng Cons Science'!L69+'Bio Ag Engineering '!L67+'Chemical '!L67+Civil!L67+'Computer Science'!L77+'Electrical  Computer'!L76+'Industrial Manu'!L76+'Mechanical Nuclear'!L73</f>
        <v>23</v>
      </c>
      <c r="M61" s="753">
        <f t="shared" si="8"/>
        <v>0.16312056737588654</v>
      </c>
      <c r="N61" s="747">
        <f>'Dean''s Office '!N48+'Arch Eng Cons Science'!N69+'Bio Ag Engineering '!N67+'Chemical '!N67+Civil!N67+'Computer Science'!N77+'Electrical  Computer'!N76+'Industrial Manu'!N76+'Mechanical Nuclear'!N73</f>
        <v>24</v>
      </c>
      <c r="O61" s="753">
        <f t="shared" si="9"/>
        <v>0.16783216783216784</v>
      </c>
      <c r="P61" s="747">
        <f>'Dean''s Office '!P48+'Arch Eng Cons Science'!P69+'Bio Ag Engineering '!P67+'Chemical '!P67+Civil!P67+'Computer Science'!P77+'Electrical  Computer'!P76+'Industrial Manu'!P76+'Mechanical Nuclear'!P73</f>
        <v>24</v>
      </c>
      <c r="Q61" s="753">
        <f t="shared" si="10"/>
        <v>0.16666666666666666</v>
      </c>
      <c r="R61" s="747">
        <f>'Dean''s Office '!R48+'Arch Eng Cons Science'!R69+'Bio Ag Engineering '!R67+'Chemical '!R67+Civil!R67+'Computer Science'!R77+'Electrical  Computer'!R76+'Industrial Manu'!R76+'Mechanical Nuclear'!R73</f>
        <v>27</v>
      </c>
      <c r="S61" s="753">
        <f t="shared" si="11"/>
        <v>0.1875</v>
      </c>
      <c r="T61" s="747">
        <f>'Dean''s Office '!T48+'Arch Eng Cons Science'!T69+'Bio Ag Engineering '!T67+'Chemical '!T67+Civil!T67+'Computer Science'!T77+'Electrical  Computer'!T76+'Industrial Manu'!T76+'Mechanical Nuclear'!T73</f>
        <v>0</v>
      </c>
      <c r="U61" s="754">
        <f t="shared" si="14"/>
        <v>0</v>
      </c>
      <c r="V61" s="66"/>
      <c r="W61" s="66"/>
    </row>
    <row r="62" spans="1:23" x14ac:dyDescent="0.2">
      <c r="A62" s="739" t="s">
        <v>56</v>
      </c>
      <c r="B62" s="755"/>
      <c r="C62" s="756"/>
      <c r="D62" s="755"/>
      <c r="E62" s="756"/>
      <c r="F62" s="755"/>
      <c r="G62" s="756"/>
      <c r="H62" s="755"/>
      <c r="I62" s="756"/>
      <c r="J62" s="755"/>
      <c r="K62" s="756"/>
      <c r="L62" s="755"/>
      <c r="M62" s="756"/>
      <c r="N62" s="755"/>
      <c r="O62" s="756"/>
      <c r="P62" s="755"/>
      <c r="Q62" s="756"/>
      <c r="R62" s="755"/>
      <c r="S62" s="756"/>
      <c r="T62" s="755"/>
      <c r="U62" s="725"/>
      <c r="V62" s="66"/>
      <c r="W62" s="66"/>
    </row>
    <row r="63" spans="1:23" x14ac:dyDescent="0.2">
      <c r="A63" s="186" t="s">
        <v>57</v>
      </c>
      <c r="B63" s="744">
        <f>'Dean''s Office '!B50+'Arch Eng Cons Science'!B71+'Bio Ag Engineering '!B69+'Chemical '!B69+Civil!B69+'Computer Science'!B79+'Electrical  Computer'!B78+'Industrial Manu'!B78+'Mechanical Nuclear'!B75</f>
        <v>99</v>
      </c>
      <c r="C63" s="751">
        <f t="shared" ref="C63:C65" si="15">B63/$E$48</f>
        <v>0.66891891891891897</v>
      </c>
      <c r="D63" s="744">
        <f>'Dean''s Office '!D50+'Arch Eng Cons Science'!D71+'Bio Ag Engineering '!D69+'Chemical '!D69+Civil!D69+'Computer Science'!D79+'Electrical  Computer'!D78+'Industrial Manu'!D78+'Mechanical Nuclear'!D75</f>
        <v>105</v>
      </c>
      <c r="E63" s="751">
        <f t="shared" si="4"/>
        <v>0.70945945945945943</v>
      </c>
      <c r="F63" s="744">
        <f>'Dean''s Office '!F50+'Arch Eng Cons Science'!F71+'Bio Ag Engineering '!F69+'Chemical '!F69+Civil!F69+'Computer Science'!F79+'Electrical  Computer'!F78+'Industrial Manu'!F78+'Mechanical Nuclear'!F75</f>
        <v>107</v>
      </c>
      <c r="G63" s="751">
        <f t="shared" si="5"/>
        <v>0.72297297297297303</v>
      </c>
      <c r="H63" s="744">
        <f>'Dean''s Office '!H50+'Arch Eng Cons Science'!H71+'Bio Ag Engineering '!H69+'Chemical '!H69+Civil!H69+'Computer Science'!H79+'Electrical  Computer'!H78+'Industrial Manu'!H78+'Mechanical Nuclear'!H75</f>
        <v>104</v>
      </c>
      <c r="I63" s="751">
        <f t="shared" si="6"/>
        <v>0.77037037037037037</v>
      </c>
      <c r="J63" s="744">
        <f>'Dean''s Office '!J50+'Arch Eng Cons Science'!J71+'Bio Ag Engineering '!J69+'Chemical '!J69+Civil!J69+'Computer Science'!J79+'Electrical  Computer'!J78+'Industrial Manu'!J78+'Mechanical Nuclear'!J75</f>
        <v>100</v>
      </c>
      <c r="K63" s="751">
        <f t="shared" si="7"/>
        <v>0.71942446043165464</v>
      </c>
      <c r="L63" s="744">
        <f>'Dean''s Office '!L50+'Arch Eng Cons Science'!L71+'Bio Ag Engineering '!L69+'Chemical '!L69+Civil!L69+'Computer Science'!L79+'Electrical  Computer'!L78+'Industrial Manu'!L78+'Mechanical Nuclear'!L75</f>
        <v>102</v>
      </c>
      <c r="M63" s="751">
        <f t="shared" si="8"/>
        <v>0.72340425531914898</v>
      </c>
      <c r="N63" s="744">
        <f>'Dean''s Office '!N50+'Arch Eng Cons Science'!N71+'Bio Ag Engineering '!N69+'Chemical '!N69+Civil!N69+'Computer Science'!N79+'Electrical  Computer'!N78+'Industrial Manu'!N78+'Mechanical Nuclear'!N75</f>
        <v>98</v>
      </c>
      <c r="O63" s="751">
        <f t="shared" si="9"/>
        <v>0.68531468531468531</v>
      </c>
      <c r="P63" s="744">
        <f>'Dean''s Office '!P50+'Arch Eng Cons Science'!P71+'Bio Ag Engineering '!P69+'Chemical '!P69+Civil!P69+'Computer Science'!P79+'Electrical  Computer'!P78+'Industrial Manu'!P78+'Mechanical Nuclear'!P75</f>
        <v>95</v>
      </c>
      <c r="Q63" s="751">
        <f t="shared" si="10"/>
        <v>0.65972222222222221</v>
      </c>
      <c r="R63" s="744">
        <f>'Dean''s Office '!R50+'Arch Eng Cons Science'!R71+'Bio Ag Engineering '!R69+'Chemical '!R69+Civil!R69+'Computer Science'!R79+'Electrical  Computer'!R78+'Industrial Manu'!R78+'Mechanical Nuclear'!R75</f>
        <v>90</v>
      </c>
      <c r="S63" s="751">
        <f t="shared" si="11"/>
        <v>0.625</v>
      </c>
      <c r="T63" s="744">
        <f>'Dean''s Office '!T50+'Arch Eng Cons Science'!T71+'Bio Ag Engineering '!T69+'Chemical '!T69+Civil!T69+'Computer Science'!T79+'Electrical  Computer'!T78+'Industrial Manu'!T78+'Mechanical Nuclear'!T75</f>
        <v>0</v>
      </c>
      <c r="U63" s="752">
        <f t="shared" ref="U63:U65" si="16">T63/$S$48</f>
        <v>0</v>
      </c>
      <c r="V63" s="66"/>
      <c r="W63" s="66"/>
    </row>
    <row r="64" spans="1:23" x14ac:dyDescent="0.2">
      <c r="A64" s="186" t="s">
        <v>58</v>
      </c>
      <c r="B64" s="744">
        <f>'Dean''s Office '!B51+'Arch Eng Cons Science'!B72+'Bio Ag Engineering '!B70+'Chemical '!B70+Civil!B70+'Computer Science'!B80+'Electrical  Computer'!B79+'Industrial Manu'!B79+'Mechanical Nuclear'!B76</f>
        <v>22</v>
      </c>
      <c r="C64" s="751">
        <f t="shared" si="15"/>
        <v>0.14864864864864866</v>
      </c>
      <c r="D64" s="744">
        <f>'Dean''s Office '!D51+'Arch Eng Cons Science'!D72+'Bio Ag Engineering '!D70+'Chemical '!D70+Civil!D70+'Computer Science'!D80+'Electrical  Computer'!D79+'Industrial Manu'!D79+'Mechanical Nuclear'!D76</f>
        <v>20</v>
      </c>
      <c r="E64" s="751">
        <f t="shared" si="4"/>
        <v>0.13513513513513514</v>
      </c>
      <c r="F64" s="744">
        <f>'Dean''s Office '!F51+'Arch Eng Cons Science'!F72+'Bio Ag Engineering '!F70+'Chemical '!F70+Civil!F70+'Computer Science'!F80+'Electrical  Computer'!F79+'Industrial Manu'!F79+'Mechanical Nuclear'!F76</f>
        <v>18</v>
      </c>
      <c r="G64" s="751">
        <f t="shared" si="5"/>
        <v>0.12162162162162163</v>
      </c>
      <c r="H64" s="744">
        <f>'Dean''s Office '!H51+'Arch Eng Cons Science'!H72+'Bio Ag Engineering '!H70+'Chemical '!H70+Civil!H70+'Computer Science'!H80+'Electrical  Computer'!H79+'Industrial Manu'!H79+'Mechanical Nuclear'!H76</f>
        <v>18</v>
      </c>
      <c r="I64" s="751">
        <f t="shared" si="6"/>
        <v>0.13333333333333333</v>
      </c>
      <c r="J64" s="744">
        <f>'Dean''s Office '!J51+'Arch Eng Cons Science'!J72+'Bio Ag Engineering '!J70+'Chemical '!J70+Civil!J70+'Computer Science'!J80+'Electrical  Computer'!J79+'Industrial Manu'!J79+'Mechanical Nuclear'!J76</f>
        <v>21</v>
      </c>
      <c r="K64" s="751">
        <f t="shared" si="7"/>
        <v>0.15107913669064749</v>
      </c>
      <c r="L64" s="744">
        <f>'Dean''s Office '!L51+'Arch Eng Cons Science'!L72+'Bio Ag Engineering '!L70+'Chemical '!L70+Civil!L70+'Computer Science'!L80+'Electrical  Computer'!L79+'Industrial Manu'!L79+'Mechanical Nuclear'!L76</f>
        <v>21</v>
      </c>
      <c r="M64" s="751">
        <f t="shared" si="8"/>
        <v>0.14893617021276595</v>
      </c>
      <c r="N64" s="744">
        <f>'Dean''s Office '!N51+'Arch Eng Cons Science'!N72+'Bio Ag Engineering '!N70+'Chemical '!N70+Civil!N70+'Computer Science'!N80+'Electrical  Computer'!N79+'Industrial Manu'!N79+'Mechanical Nuclear'!N76</f>
        <v>24</v>
      </c>
      <c r="O64" s="751">
        <f t="shared" si="9"/>
        <v>0.16783216783216784</v>
      </c>
      <c r="P64" s="744">
        <f>'Dean''s Office '!P51+'Arch Eng Cons Science'!P72+'Bio Ag Engineering '!P70+'Chemical '!P70+Civil!P70+'Computer Science'!P80+'Electrical  Computer'!P79+'Industrial Manu'!P79+'Mechanical Nuclear'!P76</f>
        <v>25</v>
      </c>
      <c r="Q64" s="751">
        <f t="shared" si="10"/>
        <v>0.1736111111111111</v>
      </c>
      <c r="R64" s="744">
        <f>'Dean''s Office '!R51+'Arch Eng Cons Science'!R72+'Bio Ag Engineering '!R70+'Chemical '!R70+Civil!R70+'Computer Science'!R80+'Electrical  Computer'!R79+'Industrial Manu'!R79+'Mechanical Nuclear'!R76</f>
        <v>30</v>
      </c>
      <c r="S64" s="751">
        <f t="shared" si="11"/>
        <v>0.20833333333333334</v>
      </c>
      <c r="T64" s="744">
        <f>'Dean''s Office '!T51+'Arch Eng Cons Science'!T72+'Bio Ag Engineering '!T70+'Chemical '!T70+Civil!T70+'Computer Science'!T80+'Electrical  Computer'!T79+'Industrial Manu'!T79+'Mechanical Nuclear'!T76</f>
        <v>0</v>
      </c>
      <c r="U64" s="752">
        <f t="shared" si="16"/>
        <v>0</v>
      </c>
      <c r="V64" s="66"/>
      <c r="W64" s="66"/>
    </row>
    <row r="65" spans="1:23" ht="13.5" thickBot="1" x14ac:dyDescent="0.25">
      <c r="A65" s="194" t="s">
        <v>59</v>
      </c>
      <c r="B65" s="747">
        <f>'Dean''s Office '!B52+'Arch Eng Cons Science'!B73+'Bio Ag Engineering '!B71+'Chemical '!B71+Civil!B71+'Computer Science'!B81+'Electrical  Computer'!B80+'Industrial Manu'!B80+'Mechanical Nuclear'!B77</f>
        <v>17</v>
      </c>
      <c r="C65" s="753">
        <f t="shared" si="15"/>
        <v>0.11486486486486487</v>
      </c>
      <c r="D65" s="747">
        <f>'Dean''s Office '!D52+'Arch Eng Cons Science'!D73+'Bio Ag Engineering '!D71+'Chemical '!D71+Civil!D71+'Computer Science'!D81+'Electrical  Computer'!D80+'Industrial Manu'!D80+'Mechanical Nuclear'!D77</f>
        <v>23</v>
      </c>
      <c r="E65" s="753">
        <f t="shared" si="4"/>
        <v>0.1554054054054054</v>
      </c>
      <c r="F65" s="747">
        <f>'Dean''s Office '!F52+'Arch Eng Cons Science'!F73+'Bio Ag Engineering '!F71+'Chemical '!F71+Civil!F71+'Computer Science'!F81+'Electrical  Computer'!F80+'Industrial Manu'!F80+'Mechanical Nuclear'!F77</f>
        <v>23</v>
      </c>
      <c r="G65" s="753">
        <f t="shared" si="5"/>
        <v>0.1554054054054054</v>
      </c>
      <c r="H65" s="747">
        <f>'Dean''s Office '!H52+'Arch Eng Cons Science'!H73+'Bio Ag Engineering '!H71+'Chemical '!H71+Civil!H71+'Computer Science'!H81+'Electrical  Computer'!H80+'Industrial Manu'!H80+'Mechanical Nuclear'!H77</f>
        <v>13</v>
      </c>
      <c r="I65" s="753">
        <f t="shared" si="6"/>
        <v>9.6296296296296297E-2</v>
      </c>
      <c r="J65" s="747">
        <f>'Dean''s Office '!J52+'Arch Eng Cons Science'!J73+'Bio Ag Engineering '!J71+'Chemical '!J71+Civil!J71+'Computer Science'!J81+'Electrical  Computer'!J80+'Industrial Manu'!J80+'Mechanical Nuclear'!J77</f>
        <v>18</v>
      </c>
      <c r="K65" s="753">
        <f t="shared" si="7"/>
        <v>0.12949640287769784</v>
      </c>
      <c r="L65" s="747">
        <f>'Dean''s Office '!L52+'Arch Eng Cons Science'!L73+'Bio Ag Engineering '!L71+'Chemical '!L71+Civil!L71+'Computer Science'!L81+'Electrical  Computer'!L80+'Industrial Manu'!L80+'Mechanical Nuclear'!L77</f>
        <v>18</v>
      </c>
      <c r="M65" s="753">
        <f t="shared" si="8"/>
        <v>0.1276595744680851</v>
      </c>
      <c r="N65" s="747">
        <f>'Dean''s Office '!N52+'Arch Eng Cons Science'!N73+'Bio Ag Engineering '!N71+'Chemical '!N71+Civil!N71+'Computer Science'!N81+'Electrical  Computer'!N80+'Industrial Manu'!N80+'Mechanical Nuclear'!N77</f>
        <v>21</v>
      </c>
      <c r="O65" s="753">
        <f t="shared" si="9"/>
        <v>0.14685314685314685</v>
      </c>
      <c r="P65" s="747">
        <f>'Dean''s Office '!P52+'Arch Eng Cons Science'!P73+'Bio Ag Engineering '!P71+'Chemical '!P71+Civil!P71+'Computer Science'!P81+'Electrical  Computer'!P80+'Industrial Manu'!P80+'Mechanical Nuclear'!P77</f>
        <v>24</v>
      </c>
      <c r="Q65" s="753">
        <f t="shared" si="10"/>
        <v>0.16666666666666666</v>
      </c>
      <c r="R65" s="747">
        <f>'Dean''s Office '!R52+'Arch Eng Cons Science'!R73+'Bio Ag Engineering '!R71+'Chemical '!R71+Civil!R71+'Computer Science'!R81+'Electrical  Computer'!R80+'Industrial Manu'!R80+'Mechanical Nuclear'!R77</f>
        <v>24</v>
      </c>
      <c r="S65" s="753">
        <f t="shared" si="11"/>
        <v>0.16666666666666666</v>
      </c>
      <c r="T65" s="747">
        <f>'Dean''s Office '!T52+'Arch Eng Cons Science'!T73+'Bio Ag Engineering '!T71+'Chemical '!T71+Civil!T71+'Computer Science'!T81+'Electrical  Computer'!T80+'Industrial Manu'!T80+'Mechanical Nuclear'!T77</f>
        <v>0</v>
      </c>
      <c r="U65" s="754">
        <f t="shared" si="16"/>
        <v>0</v>
      </c>
      <c r="V65" s="66"/>
      <c r="W65" s="66"/>
    </row>
    <row r="66" spans="1:23" x14ac:dyDescent="0.2">
      <c r="A66" s="739" t="s">
        <v>60</v>
      </c>
      <c r="B66" s="755"/>
      <c r="C66" s="756"/>
      <c r="D66" s="755"/>
      <c r="E66" s="756"/>
      <c r="F66" s="755"/>
      <c r="G66" s="756"/>
      <c r="H66" s="755"/>
      <c r="I66" s="756"/>
      <c r="J66" s="755"/>
      <c r="K66" s="756"/>
      <c r="L66" s="755"/>
      <c r="M66" s="756"/>
      <c r="N66" s="755"/>
      <c r="O66" s="756"/>
      <c r="P66" s="755"/>
      <c r="Q66" s="756"/>
      <c r="R66" s="755"/>
      <c r="S66" s="756"/>
      <c r="T66" s="755"/>
      <c r="U66" s="725"/>
      <c r="V66" s="66"/>
      <c r="W66" s="66"/>
    </row>
    <row r="67" spans="1:23" x14ac:dyDescent="0.2">
      <c r="A67" s="186" t="s">
        <v>61</v>
      </c>
      <c r="B67" s="744">
        <f>'Dean''s Office '!B54+'Arch Eng Cons Science'!B75+'Bio Ag Engineering '!B73+'Chemical '!B73+Civil!B73+'Computer Science'!B83+'Electrical  Computer'!B82+'Industrial Manu'!B82+'Mechanical Nuclear'!B79</f>
        <v>115</v>
      </c>
      <c r="C67" s="751">
        <f t="shared" ref="C67:C69" si="17">B67/$E$48</f>
        <v>0.77702702702702697</v>
      </c>
      <c r="D67" s="744">
        <f>'Dean''s Office '!D54+'Arch Eng Cons Science'!D75+'Bio Ag Engineering '!D73+'Chemical '!D73+Civil!D73+'Computer Science'!D83+'Electrical  Computer'!D82+'Industrial Manu'!D82+'Mechanical Nuclear'!D79</f>
        <v>118</v>
      </c>
      <c r="E67" s="751">
        <f t="shared" si="4"/>
        <v>0.79729729729729726</v>
      </c>
      <c r="F67" s="744">
        <f>'Dean''s Office '!F54+'Arch Eng Cons Science'!F75+'Bio Ag Engineering '!F73+'Chemical '!F73+Civil!F73+'Computer Science'!F83+'Electrical  Computer'!F82+'Industrial Manu'!F82+'Mechanical Nuclear'!F79</f>
        <v>118</v>
      </c>
      <c r="G67" s="751">
        <f t="shared" si="5"/>
        <v>0.79729729729729726</v>
      </c>
      <c r="H67" s="744">
        <f>'Dean''s Office '!H54+'Arch Eng Cons Science'!H75+'Bio Ag Engineering '!H73+'Chemical '!H73+Civil!H73+'Computer Science'!H83+'Electrical  Computer'!H82+'Industrial Manu'!H82+'Mechanical Nuclear'!H79</f>
        <v>109</v>
      </c>
      <c r="I67" s="751">
        <f t="shared" si="6"/>
        <v>0.80740740740740746</v>
      </c>
      <c r="J67" s="744">
        <f>'Dean''s Office '!J54+'Arch Eng Cons Science'!J75+'Bio Ag Engineering '!J73+'Chemical '!J73+Civil!J73+'Computer Science'!J83+'Electrical  Computer'!J82+'Industrial Manu'!J82+'Mechanical Nuclear'!J79</f>
        <v>111</v>
      </c>
      <c r="K67" s="751">
        <f t="shared" si="7"/>
        <v>0.79856115107913672</v>
      </c>
      <c r="L67" s="744">
        <f>'Dean''s Office '!L54+'Arch Eng Cons Science'!L75+'Bio Ag Engineering '!L73+'Chemical '!L73+Civil!L73+'Computer Science'!L83+'Electrical  Computer'!L82+'Industrial Manu'!L82+'Mechanical Nuclear'!L79</f>
        <v>114</v>
      </c>
      <c r="M67" s="751">
        <f t="shared" si="8"/>
        <v>0.80851063829787229</v>
      </c>
      <c r="N67" s="744">
        <f>'Dean''s Office '!N54+'Arch Eng Cons Science'!N75+'Bio Ag Engineering '!N73+'Chemical '!N73+Civil!N73+'Computer Science'!N83+'Electrical  Computer'!N82+'Industrial Manu'!N82+'Mechanical Nuclear'!N79</f>
        <v>115</v>
      </c>
      <c r="O67" s="751">
        <f t="shared" si="9"/>
        <v>0.80419580419580416</v>
      </c>
      <c r="P67" s="744">
        <f>'Dean''s Office '!P54+'Arch Eng Cons Science'!P75+'Bio Ag Engineering '!P73+'Chemical '!P73+Civil!P73+'Computer Science'!P83+'Electrical  Computer'!P82+'Industrial Manu'!P82+'Mechanical Nuclear'!P79</f>
        <v>118</v>
      </c>
      <c r="Q67" s="751">
        <f t="shared" si="10"/>
        <v>0.81944444444444442</v>
      </c>
      <c r="R67" s="744">
        <f>'Dean''s Office '!R54+'Arch Eng Cons Science'!R75+'Bio Ag Engineering '!R73+'Chemical '!R73+Civil!R73+'Computer Science'!R83+'Electrical  Computer'!R82+'Industrial Manu'!R82+'Mechanical Nuclear'!R79</f>
        <v>118</v>
      </c>
      <c r="S67" s="751">
        <f t="shared" si="11"/>
        <v>0.81944444444444442</v>
      </c>
      <c r="T67" s="744">
        <f>'Dean''s Office '!T54+'Arch Eng Cons Science'!T75+'Bio Ag Engineering '!T73+'Chemical '!T73+Civil!T73+'Computer Science'!T83+'Electrical  Computer'!T82+'Industrial Manu'!T82+'Mechanical Nuclear'!T79</f>
        <v>0</v>
      </c>
      <c r="U67" s="752">
        <f t="shared" ref="U67:U70" si="18">T67/$S$48</f>
        <v>0</v>
      </c>
      <c r="V67" s="66"/>
      <c r="W67" s="66"/>
    </row>
    <row r="68" spans="1:23" x14ac:dyDescent="0.2">
      <c r="A68" s="186" t="s">
        <v>62</v>
      </c>
      <c r="B68" s="744">
        <f>'Dean''s Office '!B55+'Arch Eng Cons Science'!B76+'Bio Ag Engineering '!B74+'Chemical '!B74+Civil!B74+'Computer Science'!B84+'Electrical  Computer'!B83+'Industrial Manu'!B83+'Mechanical Nuclear'!B80</f>
        <v>17</v>
      </c>
      <c r="C68" s="751">
        <f t="shared" si="17"/>
        <v>0.11486486486486487</v>
      </c>
      <c r="D68" s="744">
        <f>'Dean''s Office '!D55+'Arch Eng Cons Science'!D76+'Bio Ag Engineering '!D74+'Chemical '!D74+Civil!D74+'Computer Science'!D84+'Electrical  Computer'!D83+'Industrial Manu'!D83+'Mechanical Nuclear'!D80</f>
        <v>20</v>
      </c>
      <c r="E68" s="751">
        <f t="shared" ref="E68:E69" si="19">D68/$E$48</f>
        <v>0.13513513513513514</v>
      </c>
      <c r="F68" s="744">
        <f>'Dean''s Office '!F55+'Arch Eng Cons Science'!F76+'Bio Ag Engineering '!F74+'Chemical '!F74+Civil!F74+'Computer Science'!F84+'Electrical  Computer'!F83+'Industrial Manu'!F83+'Mechanical Nuclear'!F80</f>
        <v>20</v>
      </c>
      <c r="G68" s="751">
        <f t="shared" si="5"/>
        <v>0.13513513513513514</v>
      </c>
      <c r="H68" s="744">
        <f>'Dean''s Office '!H55+'Arch Eng Cons Science'!H76+'Bio Ag Engineering '!H74+'Chemical '!H74+Civil!H74+'Computer Science'!H84+'Electrical  Computer'!H83+'Industrial Manu'!H83+'Mechanical Nuclear'!H80</f>
        <v>22</v>
      </c>
      <c r="I68" s="751">
        <f t="shared" si="6"/>
        <v>0.16296296296296298</v>
      </c>
      <c r="J68" s="744">
        <f>'Dean''s Office '!J55+'Arch Eng Cons Science'!J76+'Bio Ag Engineering '!J74+'Chemical '!J74+Civil!J74+'Computer Science'!J84+'Electrical  Computer'!J83+'Industrial Manu'!J83+'Mechanical Nuclear'!J80</f>
        <v>24</v>
      </c>
      <c r="K68" s="751">
        <f t="shared" si="7"/>
        <v>0.17266187050359713</v>
      </c>
      <c r="L68" s="744">
        <f>'Dean''s Office '!L55+'Arch Eng Cons Science'!L76+'Bio Ag Engineering '!L74+'Chemical '!L74+Civil!L74+'Computer Science'!L84+'Electrical  Computer'!L83+'Industrial Manu'!L83+'Mechanical Nuclear'!L80</f>
        <v>24</v>
      </c>
      <c r="M68" s="751">
        <f t="shared" si="8"/>
        <v>0.1702127659574468</v>
      </c>
      <c r="N68" s="744">
        <f>'Dean''s Office '!N55+'Arch Eng Cons Science'!N76+'Bio Ag Engineering '!N74+'Chemical '!N74+Civil!N74+'Computer Science'!N84+'Electrical  Computer'!N83+'Industrial Manu'!N83+'Mechanical Nuclear'!N80</f>
        <v>21</v>
      </c>
      <c r="O68" s="751">
        <f t="shared" si="9"/>
        <v>0.14685314685314685</v>
      </c>
      <c r="P68" s="744">
        <f>'Dean''s Office '!P55+'Arch Eng Cons Science'!P76+'Bio Ag Engineering '!P74+'Chemical '!P74+Civil!P74+'Computer Science'!P84+'Electrical  Computer'!P83+'Industrial Manu'!P83+'Mechanical Nuclear'!P80</f>
        <v>20</v>
      </c>
      <c r="Q68" s="751">
        <f t="shared" si="10"/>
        <v>0.1388888888888889</v>
      </c>
      <c r="R68" s="744">
        <f>'Dean''s Office '!R55+'Arch Eng Cons Science'!R76+'Bio Ag Engineering '!R74+'Chemical '!R74+Civil!R74+'Computer Science'!R84+'Electrical  Computer'!R83+'Industrial Manu'!R83+'Mechanical Nuclear'!R80</f>
        <v>16</v>
      </c>
      <c r="S68" s="751">
        <f t="shared" si="11"/>
        <v>0.1111111111111111</v>
      </c>
      <c r="T68" s="744">
        <f>'Dean''s Office '!T55+'Arch Eng Cons Science'!T76+'Bio Ag Engineering '!T74+'Chemical '!T74+Civil!T74+'Computer Science'!T84+'Electrical  Computer'!T83+'Industrial Manu'!T83+'Mechanical Nuclear'!T80</f>
        <v>0</v>
      </c>
      <c r="U68" s="752">
        <f t="shared" si="18"/>
        <v>0</v>
      </c>
      <c r="V68" s="66"/>
      <c r="W68" s="66"/>
    </row>
    <row r="69" spans="1:23" x14ac:dyDescent="0.2">
      <c r="A69" s="186" t="s">
        <v>63</v>
      </c>
      <c r="B69" s="744">
        <f>'Dean''s Office '!B56+'Arch Eng Cons Science'!B77+'Bio Ag Engineering '!B75+'Chemical '!B75+Civil!B75+'Computer Science'!B85+'Electrical  Computer'!B84+'Industrial Manu'!B84+'Mechanical Nuclear'!B81</f>
        <v>6</v>
      </c>
      <c r="C69" s="751">
        <f t="shared" si="17"/>
        <v>4.0540540540540543E-2</v>
      </c>
      <c r="D69" s="744">
        <f>'Dean''s Office '!D56+'Arch Eng Cons Science'!D77+'Bio Ag Engineering '!D75+'Chemical '!D75+Civil!D75+'Computer Science'!D85+'Electrical  Computer'!D84+'Industrial Manu'!D84+'Mechanical Nuclear'!D81</f>
        <v>10</v>
      </c>
      <c r="E69" s="751">
        <f t="shared" si="19"/>
        <v>6.7567567567567571E-2</v>
      </c>
      <c r="F69" s="744">
        <f>'Dean''s Office '!F56+'Arch Eng Cons Science'!F77+'Bio Ag Engineering '!F75+'Chemical '!F75+Civil!F75+'Computer Science'!F85+'Electrical  Computer'!F84+'Industrial Manu'!F84+'Mechanical Nuclear'!F81</f>
        <v>10</v>
      </c>
      <c r="G69" s="751">
        <f t="shared" si="5"/>
        <v>6.7567567567567571E-2</v>
      </c>
      <c r="H69" s="744">
        <f>'Dean''s Office '!H56+'Arch Eng Cons Science'!H77+'Bio Ag Engineering '!H75+'Chemical '!H75+Civil!H75+'Computer Science'!H85+'Electrical  Computer'!H84+'Industrial Manu'!H84+'Mechanical Nuclear'!H81</f>
        <v>4</v>
      </c>
      <c r="I69" s="751">
        <f t="shared" si="6"/>
        <v>2.9629629629629631E-2</v>
      </c>
      <c r="J69" s="744">
        <f>'Dean''s Office '!J56+'Arch Eng Cons Science'!J77+'Bio Ag Engineering '!J75+'Chemical '!J75+Civil!J75+'Computer Science'!J85+'Electrical  Computer'!J84+'Industrial Manu'!J84+'Mechanical Nuclear'!J81</f>
        <v>4</v>
      </c>
      <c r="K69" s="751">
        <f t="shared" si="7"/>
        <v>2.8776978417266189E-2</v>
      </c>
      <c r="L69" s="744">
        <f>'Dean''s Office '!L56+'Arch Eng Cons Science'!L77+'Bio Ag Engineering '!L75+'Chemical '!L75+Civil!L75+'Computer Science'!L85+'Electrical  Computer'!L84+'Industrial Manu'!L84+'Mechanical Nuclear'!L81</f>
        <v>3</v>
      </c>
      <c r="M69" s="751">
        <f t="shared" si="8"/>
        <v>2.1276595744680851E-2</v>
      </c>
      <c r="N69" s="744">
        <f>'Dean''s Office '!N56+'Arch Eng Cons Science'!N77+'Bio Ag Engineering '!N75+'Chemical '!N75+Civil!N75+'Computer Science'!N85+'Electrical  Computer'!N84+'Industrial Manu'!N84+'Mechanical Nuclear'!N81</f>
        <v>7</v>
      </c>
      <c r="O69" s="751">
        <f t="shared" si="9"/>
        <v>4.8951048951048952E-2</v>
      </c>
      <c r="P69" s="744">
        <f>'Dean''s Office '!P56+'Arch Eng Cons Science'!P77+'Bio Ag Engineering '!P75+'Chemical '!P75+Civil!P75+'Computer Science'!P85+'Electrical  Computer'!P84+'Industrial Manu'!P84+'Mechanical Nuclear'!P81</f>
        <v>6</v>
      </c>
      <c r="Q69" s="751">
        <f t="shared" si="10"/>
        <v>4.1666666666666664E-2</v>
      </c>
      <c r="R69" s="744">
        <f>'Dean''s Office '!R56+'Arch Eng Cons Science'!R77+'Bio Ag Engineering '!R75+'Chemical '!R75+Civil!R75+'Computer Science'!R85+'Electrical  Computer'!R84+'Industrial Manu'!R84+'Mechanical Nuclear'!R81</f>
        <v>7</v>
      </c>
      <c r="S69" s="751">
        <f t="shared" si="11"/>
        <v>4.8611111111111112E-2</v>
      </c>
      <c r="T69" s="744">
        <f>'Dean''s Office '!T56+'Arch Eng Cons Science'!T77+'Bio Ag Engineering '!T75+'Chemical '!T75+Civil!T75+'Computer Science'!T85+'Electrical  Computer'!T84+'Industrial Manu'!T84+'Mechanical Nuclear'!T81</f>
        <v>0</v>
      </c>
      <c r="U69" s="752">
        <f t="shared" si="18"/>
        <v>0</v>
      </c>
      <c r="V69" s="66"/>
      <c r="W69" s="66"/>
    </row>
    <row r="70" spans="1:23" ht="13.5" thickBot="1" x14ac:dyDescent="0.25">
      <c r="A70" s="207" t="s">
        <v>64</v>
      </c>
      <c r="B70" s="726">
        <f>'Dean''s Office '!B57+'Arch Eng Cons Science'!B78+'Bio Ag Engineering '!B76+'Chemical '!B76+Civil!B76+'Computer Science'!B86+'Electrical  Computer'!B85+'Industrial Manu'!B85+'Mechanical Nuclear'!B82</f>
        <v>0</v>
      </c>
      <c r="C70" s="727">
        <f>B70/$E$48</f>
        <v>0</v>
      </c>
      <c r="D70" s="726">
        <f>'Dean''s Office '!D57+'Arch Eng Cons Science'!D78+'Bio Ag Engineering '!D76+'Chemical '!D76+Civil!D76+'Computer Science'!D86+'Electrical  Computer'!D85+'Industrial Manu'!D85+'Mechanical Nuclear'!D82</f>
        <v>0</v>
      </c>
      <c r="E70" s="727">
        <f>D70/$E$48</f>
        <v>0</v>
      </c>
      <c r="F70" s="726">
        <f>'Dean''s Office '!F57+'Arch Eng Cons Science'!F78+'Bio Ag Engineering '!F76+'Chemical '!F76+Civil!F76+'Computer Science'!F86+'Electrical  Computer'!F85+'Industrial Manu'!F85+'Mechanical Nuclear'!F82</f>
        <v>0</v>
      </c>
      <c r="G70" s="727">
        <f t="shared" si="5"/>
        <v>0</v>
      </c>
      <c r="H70" s="726">
        <f>'Dean''s Office '!H57+'Arch Eng Cons Science'!H78+'Bio Ag Engineering '!H76+'Chemical '!H76+Civil!H76+'Computer Science'!H86+'Electrical  Computer'!H85+'Industrial Manu'!H85+'Mechanical Nuclear'!H82</f>
        <v>0</v>
      </c>
      <c r="I70" s="727">
        <f t="shared" si="6"/>
        <v>0</v>
      </c>
      <c r="J70" s="726">
        <f>'Dean''s Office '!J57+'Arch Eng Cons Science'!J78+'Bio Ag Engineering '!J76+'Chemical '!J76+Civil!J76+'Computer Science'!J86+'Electrical  Computer'!J85+'Industrial Manu'!J85+'Mechanical Nuclear'!J82</f>
        <v>0</v>
      </c>
      <c r="K70" s="727">
        <f t="shared" si="7"/>
        <v>0</v>
      </c>
      <c r="L70" s="726">
        <f>'Dean''s Office '!L57+'Arch Eng Cons Science'!L78+'Bio Ag Engineering '!L76+'Chemical '!L76+Civil!L76+'Computer Science'!L86+'Electrical  Computer'!L85+'Industrial Manu'!L85+'Mechanical Nuclear'!L82</f>
        <v>0</v>
      </c>
      <c r="M70" s="727">
        <f t="shared" si="8"/>
        <v>0</v>
      </c>
      <c r="N70" s="726">
        <f>'Dean''s Office '!N57+'Arch Eng Cons Science'!N78+'Bio Ag Engineering '!N76+'Chemical '!N76+Civil!N76+'Computer Science'!N86+'Electrical  Computer'!N85+'Industrial Manu'!N85+'Mechanical Nuclear'!N82</f>
        <v>0</v>
      </c>
      <c r="O70" s="727">
        <f t="shared" si="9"/>
        <v>0</v>
      </c>
      <c r="P70" s="726">
        <f>'Dean''s Office '!P57+'Arch Eng Cons Science'!P78+'Bio Ag Engineering '!P76+'Chemical '!P76+Civil!P76+'Computer Science'!P86+'Electrical  Computer'!P85+'Industrial Manu'!P85+'Mechanical Nuclear'!P82</f>
        <v>0</v>
      </c>
      <c r="Q70" s="727">
        <f t="shared" si="10"/>
        <v>0</v>
      </c>
      <c r="R70" s="726">
        <f>'Dean''s Office '!R57+'Arch Eng Cons Science'!R78+'Bio Ag Engineering '!R76+'Chemical '!R76+Civil!R76+'Computer Science'!R86+'Electrical  Computer'!R85+'Industrial Manu'!R85+'Mechanical Nuclear'!R82</f>
        <v>0</v>
      </c>
      <c r="S70" s="727">
        <f t="shared" si="11"/>
        <v>0</v>
      </c>
      <c r="T70" s="726">
        <f>'Dean''s Office '!T57+'Arch Eng Cons Science'!T78+'Bio Ag Engineering '!T76+'Chemical '!T76+Civil!T76+'Computer Science'!T86+'Electrical  Computer'!T85+'Industrial Manu'!T85+'Mechanical Nuclear'!T82</f>
        <v>0</v>
      </c>
      <c r="U70" s="757">
        <f t="shared" si="18"/>
        <v>0</v>
      </c>
      <c r="V70" s="66"/>
      <c r="W70" s="66"/>
    </row>
    <row r="71" spans="1:23" ht="13.5" thickTop="1" x14ac:dyDescent="0.2">
      <c r="V71" s="66"/>
      <c r="W71" s="66"/>
    </row>
  </sheetData>
  <mergeCells count="20">
    <mergeCell ref="T36:U36"/>
    <mergeCell ref="T9:U9"/>
    <mergeCell ref="P9:Q9"/>
    <mergeCell ref="R9:S9"/>
    <mergeCell ref="N9:O9"/>
    <mergeCell ref="N36:O36"/>
    <mergeCell ref="P36:Q36"/>
    <mergeCell ref="R36:S36"/>
    <mergeCell ref="B9:C9"/>
    <mergeCell ref="B36:C36"/>
    <mergeCell ref="J9:K9"/>
    <mergeCell ref="L9:M9"/>
    <mergeCell ref="J36:K36"/>
    <mergeCell ref="L36:M36"/>
    <mergeCell ref="D36:E36"/>
    <mergeCell ref="F36:G36"/>
    <mergeCell ref="H36:I36"/>
    <mergeCell ref="D9:E9"/>
    <mergeCell ref="F9:G9"/>
    <mergeCell ref="H9:I9"/>
  </mergeCells>
  <pageMargins left="0.7" right="0.7" top="0.75" bottom="0.75" header="0.3" footer="0.3"/>
  <pageSetup scale="86" fitToHeight="2" orientation="landscape" r:id="rId1"/>
  <rowBreaks count="1" manualBreakCount="1">
    <brk id="34" max="20" man="1"/>
  </rowBreaks>
  <ignoredErrors>
    <ignoredError sqref="J32:S33 D51:D7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25"/>
  <sheetViews>
    <sheetView view="pageBreakPreview" zoomScaleNormal="100" zoomScaleSheetLayoutView="100" workbookViewId="0">
      <pane xSplit="1" ySplit="1" topLeftCell="I23" activePane="bottomRight" state="frozen"/>
      <selection activeCell="W23" sqref="W23:X23"/>
      <selection pane="topRight" activeCell="W23" sqref="W23:X23"/>
      <selection pane="bottomLeft" activeCell="W23" sqref="W23:X23"/>
      <selection pane="bottomRight" activeCell="W23" sqref="W23:X23"/>
    </sheetView>
  </sheetViews>
  <sheetFormatPr defaultColWidth="10.28515625" defaultRowHeight="12.75" x14ac:dyDescent="0.2"/>
  <cols>
    <col min="1" max="1" width="36.285156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6" ht="15.75" x14ac:dyDescent="0.25">
      <c r="A1" s="438" t="s">
        <v>148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2" spans="1:26" ht="15.75" x14ac:dyDescent="0.25">
      <c r="A2" s="438" t="s">
        <v>149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1:26" ht="13.5" customHeight="1" x14ac:dyDescent="0.2">
      <c r="A3" s="439"/>
    </row>
    <row r="4" spans="1:26" ht="13.5" customHeight="1" x14ac:dyDescent="0.25">
      <c r="A4" s="440" t="s">
        <v>150</v>
      </c>
      <c r="Q4" s="47" t="s">
        <v>19</v>
      </c>
    </row>
    <row r="5" spans="1:26" x14ac:dyDescent="0.2">
      <c r="A5" s="43"/>
    </row>
    <row r="6" spans="1:26" x14ac:dyDescent="0.2">
      <c r="A6" s="439" t="s">
        <v>151</v>
      </c>
    </row>
    <row r="7" spans="1:26" x14ac:dyDescent="0.2">
      <c r="A7" s="441">
        <v>3670045040</v>
      </c>
    </row>
    <row r="8" spans="1:26" ht="10.5" customHeight="1" thickBot="1" x14ac:dyDescent="0.25">
      <c r="A8" s="1"/>
    </row>
    <row r="9" spans="1:26" ht="14.25" thickTop="1" thickBot="1" x14ac:dyDescent="0.25">
      <c r="A9" s="3"/>
      <c r="B9" s="943" t="s">
        <v>0</v>
      </c>
      <c r="C9" s="940"/>
      <c r="D9" s="943" t="s">
        <v>1</v>
      </c>
      <c r="E9" s="940"/>
      <c r="F9" s="943" t="s">
        <v>2</v>
      </c>
      <c r="G9" s="940"/>
      <c r="H9" s="943" t="s">
        <v>3</v>
      </c>
      <c r="I9" s="940"/>
      <c r="J9" s="943" t="s">
        <v>4</v>
      </c>
      <c r="K9" s="940"/>
      <c r="L9" s="943" t="s">
        <v>5</v>
      </c>
      <c r="M9" s="940"/>
      <c r="N9" s="943" t="s">
        <v>6</v>
      </c>
      <c r="O9" s="940"/>
      <c r="P9" s="943" t="s">
        <v>7</v>
      </c>
      <c r="Q9" s="940"/>
      <c r="R9" s="943" t="s">
        <v>8</v>
      </c>
      <c r="S9" s="940"/>
      <c r="T9" s="943" t="s">
        <v>186</v>
      </c>
      <c r="U9" s="944"/>
      <c r="W9" s="957" t="s">
        <v>9</v>
      </c>
      <c r="X9" s="958"/>
    </row>
    <row r="10" spans="1:26" ht="33" customHeight="1" thickBot="1" x14ac:dyDescent="0.25">
      <c r="A10" s="51" t="s">
        <v>73</v>
      </c>
      <c r="B10" s="793" t="s">
        <v>14</v>
      </c>
      <c r="C10" s="794" t="s">
        <v>15</v>
      </c>
      <c r="D10" s="671" t="s">
        <v>174</v>
      </c>
      <c r="E10" s="670" t="s">
        <v>173</v>
      </c>
      <c r="F10" s="671" t="s">
        <v>174</v>
      </c>
      <c r="G10" s="670" t="s">
        <v>173</v>
      </c>
      <c r="H10" s="671" t="s">
        <v>174</v>
      </c>
      <c r="I10" s="670" t="s">
        <v>173</v>
      </c>
      <c r="J10" s="671" t="s">
        <v>174</v>
      </c>
      <c r="K10" s="670" t="s">
        <v>173</v>
      </c>
      <c r="L10" s="671" t="s">
        <v>174</v>
      </c>
      <c r="M10" s="670" t="s">
        <v>173</v>
      </c>
      <c r="N10" s="671" t="s">
        <v>174</v>
      </c>
      <c r="O10" s="670" t="s">
        <v>173</v>
      </c>
      <c r="P10" s="671" t="s">
        <v>174</v>
      </c>
      <c r="Q10" s="670" t="s">
        <v>173</v>
      </c>
      <c r="R10" s="671" t="s">
        <v>174</v>
      </c>
      <c r="S10" s="670" t="s">
        <v>173</v>
      </c>
      <c r="T10" s="671" t="s">
        <v>174</v>
      </c>
      <c r="U10" s="672" t="s">
        <v>173</v>
      </c>
      <c r="W10" s="673" t="s">
        <v>174</v>
      </c>
      <c r="X10" s="674" t="s">
        <v>173</v>
      </c>
    </row>
    <row r="11" spans="1:26" ht="15" customHeight="1" x14ac:dyDescent="0.2">
      <c r="A11" s="104" t="s">
        <v>76</v>
      </c>
      <c r="B11" s="13"/>
      <c r="C11" s="14"/>
      <c r="D11" s="11"/>
      <c r="E11" s="12"/>
      <c r="F11" s="13"/>
      <c r="G11" s="12"/>
      <c r="H11" s="13"/>
      <c r="I11" s="12"/>
      <c r="J11" s="13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5"/>
      <c r="V11" s="776"/>
      <c r="W11" s="775"/>
      <c r="X11" s="21"/>
    </row>
    <row r="12" spans="1:26" s="20" customFormat="1" ht="15" customHeight="1" x14ac:dyDescent="0.2">
      <c r="A12" s="17" t="s">
        <v>16</v>
      </c>
      <c r="B12" s="92">
        <v>183</v>
      </c>
      <c r="C12" s="262"/>
      <c r="D12" s="101">
        <v>180</v>
      </c>
      <c r="E12" s="260"/>
      <c r="F12" s="18">
        <v>168</v>
      </c>
      <c r="G12" s="260"/>
      <c r="H12" s="18">
        <v>162</v>
      </c>
      <c r="I12" s="260"/>
      <c r="J12" s="18">
        <v>152</v>
      </c>
      <c r="K12" s="260"/>
      <c r="L12" s="18">
        <v>134</v>
      </c>
      <c r="M12" s="260"/>
      <c r="N12" s="18">
        <v>132</v>
      </c>
      <c r="O12" s="260"/>
      <c r="P12" s="18">
        <v>130</v>
      </c>
      <c r="Q12" s="260"/>
      <c r="R12" s="18">
        <f>84+56</f>
        <v>140</v>
      </c>
      <c r="S12" s="260"/>
      <c r="T12" s="18">
        <f>69+82</f>
        <v>151</v>
      </c>
      <c r="U12" s="90"/>
      <c r="W12" s="16">
        <f>AVERAGE(N12,L12,R12,T12,P12)</f>
        <v>137.4</v>
      </c>
      <c r="X12" s="264"/>
    </row>
    <row r="13" spans="1:26" s="20" customFormat="1" ht="15" customHeight="1" thickBot="1" x14ac:dyDescent="0.25">
      <c r="A13" s="22" t="s">
        <v>17</v>
      </c>
      <c r="B13" s="102">
        <v>217</v>
      </c>
      <c r="C13" s="263"/>
      <c r="D13" s="103">
        <v>204</v>
      </c>
      <c r="E13" s="261"/>
      <c r="F13" s="24">
        <v>212</v>
      </c>
      <c r="G13" s="261"/>
      <c r="H13" s="24">
        <v>197</v>
      </c>
      <c r="I13" s="261"/>
      <c r="J13" s="24">
        <v>202</v>
      </c>
      <c r="K13" s="261"/>
      <c r="L13" s="24">
        <v>205</v>
      </c>
      <c r="M13" s="261"/>
      <c r="N13" s="24">
        <v>186</v>
      </c>
      <c r="O13" s="261"/>
      <c r="P13" s="24">
        <v>167</v>
      </c>
      <c r="Q13" s="261"/>
      <c r="R13" s="24">
        <f>41+112</f>
        <v>153</v>
      </c>
      <c r="S13" s="261"/>
      <c r="T13" s="24">
        <v>159</v>
      </c>
      <c r="U13" s="91"/>
      <c r="W13" s="105">
        <f>AVERAGE(N13,L13,R13,T13,P13)</f>
        <v>174</v>
      </c>
      <c r="X13" s="275"/>
    </row>
    <row r="14" spans="1:26" s="53" customFormat="1" ht="15" customHeight="1" thickBot="1" x14ac:dyDescent="0.25">
      <c r="A14" s="75" t="s">
        <v>18</v>
      </c>
      <c r="B14" s="68">
        <f t="shared" ref="B14:R14" si="0">SUM(B12:B13)</f>
        <v>400</v>
      </c>
      <c r="C14" s="77">
        <v>47</v>
      </c>
      <c r="D14" s="407">
        <f>SUM(D12:D13)</f>
        <v>384</v>
      </c>
      <c r="E14" s="77">
        <v>53</v>
      </c>
      <c r="F14" s="68">
        <f t="shared" si="0"/>
        <v>380</v>
      </c>
      <c r="G14" s="77">
        <v>55</v>
      </c>
      <c r="H14" s="68">
        <f t="shared" si="0"/>
        <v>359</v>
      </c>
      <c r="I14" s="77">
        <v>47</v>
      </c>
      <c r="J14" s="407">
        <f t="shared" si="0"/>
        <v>354</v>
      </c>
      <c r="K14" s="77">
        <v>47</v>
      </c>
      <c r="L14" s="68">
        <f t="shared" si="0"/>
        <v>339</v>
      </c>
      <c r="M14" s="77">
        <v>55</v>
      </c>
      <c r="N14" s="407">
        <f t="shared" si="0"/>
        <v>318</v>
      </c>
      <c r="O14" s="77">
        <v>61</v>
      </c>
      <c r="P14" s="68">
        <f t="shared" si="0"/>
        <v>297</v>
      </c>
      <c r="Q14" s="773">
        <v>47</v>
      </c>
      <c r="R14" s="774">
        <f t="shared" si="0"/>
        <v>293</v>
      </c>
      <c r="S14" s="77">
        <v>39</v>
      </c>
      <c r="T14" s="68">
        <f t="shared" ref="T14" si="1">SUM(T12:T13)</f>
        <v>310</v>
      </c>
      <c r="U14" s="825"/>
      <c r="W14" s="327">
        <f>AVERAGE(N14,L14,R14,T14,P14)</f>
        <v>311.39999999999998</v>
      </c>
      <c r="X14" s="328">
        <f>AVERAGE(O14,M14,I14,K14,S14)</f>
        <v>49.8</v>
      </c>
    </row>
    <row r="15" spans="1:26" s="20" customFormat="1" ht="15" customHeight="1" x14ac:dyDescent="0.2">
      <c r="A15" s="23" t="s">
        <v>20</v>
      </c>
      <c r="B15" s="11">
        <v>4</v>
      </c>
      <c r="C15" s="35">
        <v>13</v>
      </c>
      <c r="D15" s="11">
        <v>20</v>
      </c>
      <c r="E15" s="34">
        <v>13</v>
      </c>
      <c r="F15" s="13">
        <v>20</v>
      </c>
      <c r="G15" s="34">
        <v>11</v>
      </c>
      <c r="H15" s="13">
        <v>13</v>
      </c>
      <c r="I15" s="34">
        <v>10</v>
      </c>
      <c r="J15" s="13">
        <v>14</v>
      </c>
      <c r="K15" s="34">
        <v>6</v>
      </c>
      <c r="L15" s="13">
        <v>12</v>
      </c>
      <c r="M15" s="34">
        <v>9</v>
      </c>
      <c r="N15" s="13">
        <v>6</v>
      </c>
      <c r="O15" s="34">
        <v>5</v>
      </c>
      <c r="P15" s="13">
        <f>10</f>
        <v>10</v>
      </c>
      <c r="Q15" s="34">
        <v>3</v>
      </c>
      <c r="R15" s="13">
        <v>13</v>
      </c>
      <c r="S15" s="34">
        <v>5</v>
      </c>
      <c r="T15" s="18">
        <v>5</v>
      </c>
      <c r="U15" s="91"/>
      <c r="W15" s="270">
        <f>AVERAGE(N15,L15,R15,T15,P15)</f>
        <v>9.1999999999999993</v>
      </c>
      <c r="X15" s="271">
        <f>AVERAGE(O15,M15,I15,K15,S15)</f>
        <v>7</v>
      </c>
      <c r="Z15" s="20" t="s">
        <v>19</v>
      </c>
    </row>
    <row r="16" spans="1:26" s="106" customFormat="1" ht="15" customHeight="1" x14ac:dyDescent="0.2">
      <c r="A16" s="104" t="s">
        <v>77</v>
      </c>
      <c r="B16" s="301"/>
      <c r="C16" s="262"/>
      <c r="D16" s="19"/>
      <c r="E16" s="778"/>
      <c r="F16" s="18"/>
      <c r="G16" s="778"/>
      <c r="H16" s="18"/>
      <c r="I16" s="778"/>
      <c r="J16" s="18"/>
      <c r="K16" s="778"/>
      <c r="L16" s="18"/>
      <c r="M16" s="778"/>
      <c r="N16" s="18"/>
      <c r="O16" s="778"/>
      <c r="P16" s="18"/>
      <c r="Q16" s="778"/>
      <c r="R16" s="18"/>
      <c r="S16" s="778"/>
      <c r="T16" s="18"/>
      <c r="U16" s="90"/>
      <c r="V16" s="779"/>
      <c r="W16" s="780"/>
      <c r="X16" s="781"/>
    </row>
    <row r="17" spans="1:24" s="106" customFormat="1" ht="15" customHeight="1" x14ac:dyDescent="0.2">
      <c r="A17" s="107" t="s">
        <v>16</v>
      </c>
      <c r="B17" s="108">
        <v>155</v>
      </c>
      <c r="C17" s="303"/>
      <c r="D17" s="109">
        <v>176</v>
      </c>
      <c r="E17" s="302"/>
      <c r="F17" s="110">
        <v>160</v>
      </c>
      <c r="G17" s="302"/>
      <c r="H17" s="110">
        <v>138</v>
      </c>
      <c r="I17" s="302"/>
      <c r="J17" s="110">
        <v>108</v>
      </c>
      <c r="K17" s="302"/>
      <c r="L17" s="110">
        <v>95</v>
      </c>
      <c r="M17" s="302"/>
      <c r="N17" s="110">
        <v>110</v>
      </c>
      <c r="O17" s="302"/>
      <c r="P17" s="110">
        <v>110</v>
      </c>
      <c r="Q17" s="302"/>
      <c r="R17" s="110">
        <v>107</v>
      </c>
      <c r="S17" s="302"/>
      <c r="T17" s="110">
        <v>124</v>
      </c>
      <c r="U17" s="826"/>
      <c r="W17" s="105">
        <f>AVERAGE(N17,L17,R17,T17,P17)</f>
        <v>109.2</v>
      </c>
      <c r="X17" s="275"/>
    </row>
    <row r="18" spans="1:24" s="106" customFormat="1" ht="15" customHeight="1" thickBot="1" x14ac:dyDescent="0.25">
      <c r="A18" s="22" t="s">
        <v>17</v>
      </c>
      <c r="B18" s="102">
        <v>237</v>
      </c>
      <c r="C18" s="263"/>
      <c r="D18" s="103">
        <v>269</v>
      </c>
      <c r="E18" s="261"/>
      <c r="F18" s="24">
        <v>261</v>
      </c>
      <c r="G18" s="261"/>
      <c r="H18" s="24">
        <v>269</v>
      </c>
      <c r="I18" s="261"/>
      <c r="J18" s="24">
        <v>242</v>
      </c>
      <c r="K18" s="261"/>
      <c r="L18" s="24">
        <v>219</v>
      </c>
      <c r="M18" s="261"/>
      <c r="N18" s="24">
        <v>168</v>
      </c>
      <c r="O18" s="261"/>
      <c r="P18" s="24">
        <v>174</v>
      </c>
      <c r="Q18" s="261"/>
      <c r="R18" s="24">
        <v>184</v>
      </c>
      <c r="S18" s="261"/>
      <c r="T18" s="24">
        <v>203</v>
      </c>
      <c r="U18" s="91"/>
      <c r="W18" s="105">
        <f>AVERAGE(N18,L18,R18,T18,P18)</f>
        <v>189.6</v>
      </c>
      <c r="X18" s="275"/>
    </row>
    <row r="19" spans="1:24" s="106" customFormat="1" ht="15" customHeight="1" thickBot="1" x14ac:dyDescent="0.25">
      <c r="A19" s="111" t="s">
        <v>18</v>
      </c>
      <c r="B19" s="112">
        <f t="shared" ref="B19:R19" si="2">SUM(B17:B18)</f>
        <v>392</v>
      </c>
      <c r="C19" s="113">
        <v>64</v>
      </c>
      <c r="D19" s="112">
        <f t="shared" si="2"/>
        <v>445</v>
      </c>
      <c r="E19" s="113">
        <v>86</v>
      </c>
      <c r="F19" s="112">
        <f t="shared" si="2"/>
        <v>421</v>
      </c>
      <c r="G19" s="113">
        <v>78</v>
      </c>
      <c r="H19" s="112">
        <f t="shared" si="2"/>
        <v>407</v>
      </c>
      <c r="I19" s="113">
        <v>93</v>
      </c>
      <c r="J19" s="112">
        <f t="shared" si="2"/>
        <v>350</v>
      </c>
      <c r="K19" s="113">
        <v>80</v>
      </c>
      <c r="L19" s="112">
        <f t="shared" si="2"/>
        <v>314</v>
      </c>
      <c r="M19" s="113">
        <v>87</v>
      </c>
      <c r="N19" s="112">
        <f t="shared" si="2"/>
        <v>278</v>
      </c>
      <c r="O19" s="113">
        <v>60</v>
      </c>
      <c r="P19" s="112">
        <f t="shared" si="2"/>
        <v>284</v>
      </c>
      <c r="Q19" s="113">
        <v>70</v>
      </c>
      <c r="R19" s="112">
        <f t="shared" si="2"/>
        <v>291</v>
      </c>
      <c r="S19" s="113">
        <v>40</v>
      </c>
      <c r="T19" s="112">
        <f t="shared" ref="T19" si="3">SUM(T17:T18)</f>
        <v>327</v>
      </c>
      <c r="U19" s="827"/>
      <c r="W19" s="329">
        <f>AVERAGE(N19,L19,R19,T19,P19)</f>
        <v>298.8</v>
      </c>
      <c r="X19" s="328">
        <f>AVERAGE(O19,M19,I19,K19,S19)</f>
        <v>72</v>
      </c>
    </row>
    <row r="20" spans="1:24" ht="18" customHeight="1" thickTop="1" thickBot="1" x14ac:dyDescent="0.25">
      <c r="A20" s="304" t="s">
        <v>68</v>
      </c>
      <c r="B20" s="967"/>
      <c r="C20" s="968"/>
      <c r="D20" s="967"/>
      <c r="E20" s="968"/>
      <c r="F20" s="967"/>
      <c r="G20" s="968"/>
      <c r="H20" s="967"/>
      <c r="I20" s="968"/>
      <c r="J20" s="967"/>
      <c r="K20" s="968"/>
      <c r="L20" s="967"/>
      <c r="M20" s="968"/>
      <c r="N20" s="967"/>
      <c r="O20" s="968"/>
      <c r="P20" s="967"/>
      <c r="Q20" s="968"/>
      <c r="R20" s="967"/>
      <c r="S20" s="968"/>
      <c r="T20" s="967"/>
      <c r="U20" s="962"/>
      <c r="V20" s="231"/>
      <c r="W20" s="961"/>
      <c r="X20" s="962"/>
    </row>
    <row r="21" spans="1:24" ht="15" customHeight="1" x14ac:dyDescent="0.2">
      <c r="A21" s="500" t="s">
        <v>75</v>
      </c>
      <c r="B21" s="255"/>
      <c r="C21" s="324"/>
      <c r="D21" s="325"/>
      <c r="E21" s="324"/>
      <c r="F21" s="325"/>
      <c r="G21" s="324"/>
      <c r="H21" s="325"/>
      <c r="I21" s="324"/>
      <c r="J21" s="325"/>
      <c r="K21" s="324"/>
      <c r="L21" s="325"/>
      <c r="M21" s="324"/>
      <c r="N21" s="325"/>
      <c r="O21" s="324"/>
      <c r="P21" s="325"/>
      <c r="Q21" s="324"/>
      <c r="R21" s="325"/>
      <c r="S21" s="324"/>
      <c r="T21" s="325"/>
      <c r="U21" s="326"/>
      <c r="V21" s="231"/>
      <c r="W21" s="246"/>
      <c r="X21" s="259" t="e">
        <f>AVERAGE(O21,M21,S21,U21,Q21)</f>
        <v>#DIV/0!</v>
      </c>
    </row>
    <row r="22" spans="1:24" ht="15" customHeight="1" x14ac:dyDescent="0.2">
      <c r="A22" s="501" t="s">
        <v>78</v>
      </c>
      <c r="B22" s="322"/>
      <c r="C22" s="306">
        <v>0.94</v>
      </c>
      <c r="D22" s="323"/>
      <c r="E22" s="306">
        <v>0.92</v>
      </c>
      <c r="F22" s="323"/>
      <c r="G22" s="306">
        <v>0.93</v>
      </c>
      <c r="H22" s="323"/>
      <c r="I22" s="306">
        <v>0.91</v>
      </c>
      <c r="J22" s="323"/>
      <c r="K22" s="306">
        <v>0.95</v>
      </c>
      <c r="L22" s="323"/>
      <c r="M22" s="306">
        <v>0.95</v>
      </c>
      <c r="N22" s="323"/>
      <c r="O22" s="306">
        <v>0.98</v>
      </c>
      <c r="P22" s="323"/>
      <c r="Q22" s="306">
        <v>0.93</v>
      </c>
      <c r="R22" s="323"/>
      <c r="S22" s="935"/>
      <c r="T22" s="323"/>
      <c r="U22" s="828"/>
      <c r="V22" s="231"/>
      <c r="W22" s="246"/>
      <c r="X22" s="259">
        <f t="shared" ref="X22:X25" si="4">AVERAGE(O22,M22,I22,K22,S22)</f>
        <v>0.94750000000000001</v>
      </c>
    </row>
    <row r="23" spans="1:24" ht="15" customHeight="1" x14ac:dyDescent="0.2">
      <c r="A23" s="501" t="s">
        <v>81</v>
      </c>
      <c r="B23" s="305"/>
      <c r="C23" s="306">
        <v>0.95</v>
      </c>
      <c r="D23" s="305"/>
      <c r="E23" s="306">
        <v>0.95</v>
      </c>
      <c r="F23" s="305"/>
      <c r="G23" s="306">
        <v>0.98</v>
      </c>
      <c r="H23" s="305"/>
      <c r="I23" s="306">
        <v>0.97</v>
      </c>
      <c r="J23" s="305"/>
      <c r="K23" s="306">
        <v>0.97</v>
      </c>
      <c r="L23" s="305"/>
      <c r="M23" s="306">
        <v>0.95</v>
      </c>
      <c r="N23" s="305"/>
      <c r="O23" s="306">
        <v>0.97</v>
      </c>
      <c r="P23" s="305"/>
      <c r="Q23" s="306">
        <v>0.99</v>
      </c>
      <c r="R23" s="305"/>
      <c r="S23" s="935"/>
      <c r="T23" s="305"/>
      <c r="U23" s="828"/>
      <c r="V23" s="231"/>
      <c r="W23" s="246"/>
      <c r="X23" s="259">
        <f t="shared" si="4"/>
        <v>0.96499999999999986</v>
      </c>
    </row>
    <row r="24" spans="1:24" ht="15" customHeight="1" x14ac:dyDescent="0.2">
      <c r="A24" s="498" t="s">
        <v>79</v>
      </c>
      <c r="B24" s="305"/>
      <c r="C24" s="306">
        <v>0.04</v>
      </c>
      <c r="D24" s="305"/>
      <c r="E24" s="306">
        <v>0.06</v>
      </c>
      <c r="F24" s="305"/>
      <c r="G24" s="306">
        <v>0.04</v>
      </c>
      <c r="H24" s="305"/>
      <c r="I24" s="306">
        <v>0.04</v>
      </c>
      <c r="J24" s="305"/>
      <c r="K24" s="306">
        <v>0.05</v>
      </c>
      <c r="L24" s="305"/>
      <c r="M24" s="306">
        <v>0.04</v>
      </c>
      <c r="N24" s="305"/>
      <c r="O24" s="306">
        <v>0</v>
      </c>
      <c r="P24" s="305"/>
      <c r="Q24" s="306">
        <v>0.04</v>
      </c>
      <c r="R24" s="305"/>
      <c r="S24" s="935"/>
      <c r="T24" s="305"/>
      <c r="U24" s="828"/>
      <c r="V24" s="231"/>
      <c r="W24" s="246"/>
      <c r="X24" s="259">
        <f t="shared" si="4"/>
        <v>3.2500000000000001E-2</v>
      </c>
    </row>
    <row r="25" spans="1:24" ht="15" customHeight="1" thickBot="1" x14ac:dyDescent="0.25">
      <c r="A25" s="502" t="s">
        <v>80</v>
      </c>
      <c r="B25" s="404"/>
      <c r="C25" s="405">
        <v>0.02</v>
      </c>
      <c r="D25" s="404"/>
      <c r="E25" s="405">
        <v>0.02</v>
      </c>
      <c r="F25" s="404"/>
      <c r="G25" s="405">
        <v>0</v>
      </c>
      <c r="H25" s="404"/>
      <c r="I25" s="405">
        <v>0.01</v>
      </c>
      <c r="J25" s="404"/>
      <c r="K25" s="405">
        <v>0.03</v>
      </c>
      <c r="L25" s="404"/>
      <c r="M25" s="405">
        <v>0.01</v>
      </c>
      <c r="N25" s="404"/>
      <c r="O25" s="405">
        <v>0.03</v>
      </c>
      <c r="P25" s="404"/>
      <c r="Q25" s="405">
        <v>0</v>
      </c>
      <c r="R25" s="404"/>
      <c r="S25" s="938"/>
      <c r="T25" s="404"/>
      <c r="U25" s="829"/>
      <c r="V25" s="231"/>
      <c r="W25" s="252"/>
      <c r="X25" s="259">
        <f t="shared" si="4"/>
        <v>0.02</v>
      </c>
    </row>
    <row r="26" spans="1:24" ht="18" customHeight="1" thickTop="1" thickBot="1" x14ac:dyDescent="0.25">
      <c r="A26" s="230" t="s">
        <v>74</v>
      </c>
      <c r="B26" s="967"/>
      <c r="C26" s="968"/>
      <c r="D26" s="967"/>
      <c r="E26" s="968"/>
      <c r="F26" s="967"/>
      <c r="G26" s="968"/>
      <c r="H26" s="967"/>
      <c r="I26" s="968"/>
      <c r="J26" s="967"/>
      <c r="K26" s="968"/>
      <c r="L26" s="967"/>
      <c r="M26" s="968"/>
      <c r="N26" s="967"/>
      <c r="O26" s="968"/>
      <c r="P26" s="967"/>
      <c r="Q26" s="968"/>
      <c r="R26" s="967"/>
      <c r="S26" s="968"/>
      <c r="T26" s="967"/>
      <c r="U26" s="962"/>
      <c r="V26" s="231"/>
      <c r="W26" s="961"/>
      <c r="X26" s="962"/>
    </row>
    <row r="27" spans="1:24" ht="15" customHeight="1" x14ac:dyDescent="0.2">
      <c r="A27" s="499" t="s">
        <v>82</v>
      </c>
      <c r="B27" s="285"/>
      <c r="C27" s="284">
        <v>27.1</v>
      </c>
      <c r="D27" s="285"/>
      <c r="E27" s="284">
        <v>26.6</v>
      </c>
      <c r="F27" s="285"/>
      <c r="G27" s="284">
        <v>26.7</v>
      </c>
      <c r="H27" s="285"/>
      <c r="I27" s="284">
        <v>26.5</v>
      </c>
      <c r="J27" s="285"/>
      <c r="K27" s="284">
        <v>26.8</v>
      </c>
      <c r="L27" s="285"/>
      <c r="M27" s="284">
        <v>26.7</v>
      </c>
      <c r="N27" s="285"/>
      <c r="O27" s="284">
        <v>27.3</v>
      </c>
      <c r="P27" s="285"/>
      <c r="Q27" s="284">
        <v>27</v>
      </c>
      <c r="R27" s="285"/>
      <c r="S27" s="284">
        <v>27.2</v>
      </c>
      <c r="T27" s="285"/>
      <c r="U27" s="286"/>
      <c r="V27" s="231"/>
      <c r="W27" s="318"/>
      <c r="X27" s="320">
        <f>AVERAGE(O27,M27,S27,U27,Q27)</f>
        <v>27.05</v>
      </c>
    </row>
    <row r="28" spans="1:24" ht="15" customHeight="1" thickBot="1" x14ac:dyDescent="0.25">
      <c r="A28" s="669" t="s">
        <v>83</v>
      </c>
      <c r="B28" s="256"/>
      <c r="C28" s="257">
        <v>23</v>
      </c>
      <c r="D28" s="256"/>
      <c r="E28" s="257">
        <v>23.1</v>
      </c>
      <c r="F28" s="256"/>
      <c r="G28" s="257">
        <v>23.4</v>
      </c>
      <c r="H28" s="256"/>
      <c r="I28" s="257">
        <v>23.5</v>
      </c>
      <c r="J28" s="256"/>
      <c r="K28" s="257">
        <v>23.6</v>
      </c>
      <c r="L28" s="256"/>
      <c r="M28" s="257">
        <v>23.6</v>
      </c>
      <c r="N28" s="256"/>
      <c r="O28" s="257">
        <v>23.7</v>
      </c>
      <c r="P28" s="256"/>
      <c r="Q28" s="257">
        <v>23.8</v>
      </c>
      <c r="R28" s="256"/>
      <c r="S28" s="257">
        <v>23.5</v>
      </c>
      <c r="T28" s="256"/>
      <c r="U28" s="258"/>
      <c r="V28" s="231"/>
      <c r="W28" s="319"/>
      <c r="X28" s="321">
        <f>AVERAGE(O28,M28,S28,U28,Q28)</f>
        <v>23.65</v>
      </c>
    </row>
    <row r="29" spans="1:24" ht="18" customHeight="1" thickTop="1" thickBot="1" x14ac:dyDescent="0.25">
      <c r="A29" s="290" t="s">
        <v>165</v>
      </c>
      <c r="B29" s="967"/>
      <c r="C29" s="968"/>
      <c r="D29" s="967"/>
      <c r="E29" s="968"/>
      <c r="F29" s="967"/>
      <c r="G29" s="968"/>
      <c r="H29" s="967"/>
      <c r="I29" s="968"/>
      <c r="J29" s="967"/>
      <c r="K29" s="968"/>
      <c r="L29" s="967"/>
      <c r="M29" s="968"/>
      <c r="N29" s="967"/>
      <c r="O29" s="968"/>
      <c r="P29" s="967"/>
      <c r="Q29" s="968"/>
      <c r="R29" s="967"/>
      <c r="S29" s="968"/>
      <c r="T29" s="967"/>
      <c r="U29" s="962"/>
      <c r="V29" s="231"/>
      <c r="W29" s="961"/>
      <c r="X29" s="962"/>
    </row>
    <row r="30" spans="1:24" ht="15" customHeight="1" x14ac:dyDescent="0.2">
      <c r="A30" s="498" t="s">
        <v>22</v>
      </c>
      <c r="B30" s="95"/>
      <c r="C30" s="93">
        <f>119+839</f>
        <v>958</v>
      </c>
      <c r="D30" s="96"/>
      <c r="E30" s="292">
        <v>1055</v>
      </c>
      <c r="F30" s="95"/>
      <c r="G30" s="292">
        <v>1021</v>
      </c>
      <c r="H30" s="95"/>
      <c r="I30" s="292">
        <v>837</v>
      </c>
      <c r="J30" s="95"/>
      <c r="K30" s="292">
        <v>816</v>
      </c>
      <c r="L30" s="95"/>
      <c r="M30" s="292">
        <v>702</v>
      </c>
      <c r="N30" s="95"/>
      <c r="O30" s="292">
        <v>761</v>
      </c>
      <c r="P30" s="95"/>
      <c r="Q30" s="292">
        <v>1421</v>
      </c>
      <c r="R30" s="95"/>
      <c r="S30" s="292">
        <v>2142</v>
      </c>
      <c r="T30" s="95"/>
      <c r="U30" s="822"/>
      <c r="V30" s="231"/>
      <c r="W30" s="293"/>
      <c r="X30" s="307">
        <f>AVERAGE(O30,M30,S30,K30,Q30)</f>
        <v>1168.4000000000001</v>
      </c>
    </row>
    <row r="31" spans="1:24" ht="15" customHeight="1" x14ac:dyDescent="0.2">
      <c r="A31" s="498" t="s">
        <v>23</v>
      </c>
      <c r="B31" s="95"/>
      <c r="C31" s="93">
        <f>2513+4576</f>
        <v>7089</v>
      </c>
      <c r="D31" s="96"/>
      <c r="E31" s="292">
        <v>7301</v>
      </c>
      <c r="F31" s="95"/>
      <c r="G31" s="292">
        <v>7491</v>
      </c>
      <c r="H31" s="95"/>
      <c r="I31" s="292">
        <v>7618</v>
      </c>
      <c r="J31" s="95"/>
      <c r="K31" s="292">
        <v>7376</v>
      </c>
      <c r="L31" s="95"/>
      <c r="M31" s="292">
        <v>6601</v>
      </c>
      <c r="N31" s="95"/>
      <c r="O31" s="292">
        <v>5656</v>
      </c>
      <c r="P31" s="95"/>
      <c r="Q31" s="292">
        <v>5682</v>
      </c>
      <c r="R31" s="95"/>
      <c r="S31" s="292">
        <v>5303</v>
      </c>
      <c r="T31" s="95"/>
      <c r="U31" s="822"/>
      <c r="V31" s="231"/>
      <c r="W31" s="294"/>
      <c r="X31" s="307">
        <f t="shared" ref="X31:X32" si="5">AVERAGE(O31,M31,S31,K31,Q31)</f>
        <v>6123.6</v>
      </c>
    </row>
    <row r="32" spans="1:24" ht="15" customHeight="1" x14ac:dyDescent="0.2">
      <c r="A32" s="498" t="s">
        <v>24</v>
      </c>
      <c r="B32" s="95"/>
      <c r="C32" s="93">
        <f>618+86</f>
        <v>704</v>
      </c>
      <c r="D32" s="96"/>
      <c r="E32" s="292">
        <v>694</v>
      </c>
      <c r="F32" s="95"/>
      <c r="G32" s="292">
        <v>738</v>
      </c>
      <c r="H32" s="95"/>
      <c r="I32" s="292">
        <v>627</v>
      </c>
      <c r="J32" s="95"/>
      <c r="K32" s="292">
        <v>738</v>
      </c>
      <c r="L32" s="95"/>
      <c r="M32" s="292">
        <v>659</v>
      </c>
      <c r="N32" s="95"/>
      <c r="O32" s="292">
        <v>717</v>
      </c>
      <c r="P32" s="95"/>
      <c r="Q32" s="292">
        <v>674</v>
      </c>
      <c r="R32" s="95"/>
      <c r="S32" s="292">
        <v>628</v>
      </c>
      <c r="T32" s="95"/>
      <c r="U32" s="822"/>
      <c r="V32" s="231"/>
      <c r="W32" s="294"/>
      <c r="X32" s="307">
        <f t="shared" si="5"/>
        <v>683.2</v>
      </c>
    </row>
    <row r="33" spans="1:27" ht="15" customHeight="1" thickBot="1" x14ac:dyDescent="0.25">
      <c r="A33" s="498" t="s">
        <v>25</v>
      </c>
      <c r="B33" s="64"/>
      <c r="C33" s="295">
        <v>0</v>
      </c>
      <c r="D33" s="96"/>
      <c r="E33" s="296">
        <v>0</v>
      </c>
      <c r="F33" s="95"/>
      <c r="G33" s="296">
        <v>0</v>
      </c>
      <c r="H33" s="95"/>
      <c r="I33" s="296">
        <v>0</v>
      </c>
      <c r="J33" s="95"/>
      <c r="K33" s="296">
        <v>0</v>
      </c>
      <c r="L33" s="95"/>
      <c r="M33" s="296">
        <v>0</v>
      </c>
      <c r="N33" s="95"/>
      <c r="O33" s="296">
        <v>0</v>
      </c>
      <c r="P33" s="95"/>
      <c r="Q33" s="296">
        <v>0</v>
      </c>
      <c r="R33" s="95"/>
      <c r="S33" s="296">
        <v>0</v>
      </c>
      <c r="T33" s="64"/>
      <c r="U33" s="830"/>
      <c r="V33" s="231"/>
      <c r="W33" s="309"/>
      <c r="X33" s="315"/>
    </row>
    <row r="34" spans="1:27" ht="15" customHeight="1" thickBot="1" x14ac:dyDescent="0.25">
      <c r="A34" s="299" t="s">
        <v>26</v>
      </c>
      <c r="B34" s="97"/>
      <c r="C34" s="98">
        <f>SUM(C30:C33)</f>
        <v>8751</v>
      </c>
      <c r="D34" s="99"/>
      <c r="E34" s="100">
        <f>SUM(E30:E33)</f>
        <v>9050</v>
      </c>
      <c r="F34" s="97"/>
      <c r="G34" s="100">
        <f>SUM(G30:G33)</f>
        <v>9250</v>
      </c>
      <c r="H34" s="97"/>
      <c r="I34" s="100">
        <f>SUM(I30:I33)</f>
        <v>9082</v>
      </c>
      <c r="J34" s="97"/>
      <c r="K34" s="100">
        <f>SUM(K30:K33)</f>
        <v>8930</v>
      </c>
      <c r="L34" s="97"/>
      <c r="M34" s="100">
        <f>SUM(M30:M33)</f>
        <v>7962</v>
      </c>
      <c r="N34" s="97"/>
      <c r="O34" s="100">
        <f>SUM(O30:O33)</f>
        <v>7134</v>
      </c>
      <c r="P34" s="97"/>
      <c r="Q34" s="100">
        <f>SUM(Q30:Q33)</f>
        <v>7777</v>
      </c>
      <c r="R34" s="97"/>
      <c r="S34" s="100">
        <f>SUM(S30:S33)</f>
        <v>8073</v>
      </c>
      <c r="T34" s="97"/>
      <c r="U34" s="831">
        <f>SUM(U30:U33)</f>
        <v>0</v>
      </c>
      <c r="V34" s="231"/>
      <c r="W34" s="316"/>
      <c r="X34" s="308">
        <f>AVERAGE(O34,M34,S34,K34,Q34)</f>
        <v>7975.2</v>
      </c>
    </row>
    <row r="35" spans="1:27" ht="15" customHeight="1" thickTop="1" thickBot="1" x14ac:dyDescent="0.25">
      <c r="A35" s="310"/>
      <c r="B35" s="311"/>
      <c r="C35" s="312"/>
      <c r="D35" s="311"/>
      <c r="E35" s="312"/>
      <c r="F35" s="311"/>
      <c r="G35" s="312"/>
      <c r="H35" s="311"/>
      <c r="I35" s="312"/>
      <c r="J35" s="311"/>
      <c r="K35" s="312"/>
      <c r="L35" s="311"/>
      <c r="M35" s="312"/>
      <c r="N35" s="311"/>
      <c r="O35" s="312"/>
      <c r="P35" s="311"/>
      <c r="Q35" s="312"/>
      <c r="R35" s="311"/>
      <c r="S35" s="312"/>
      <c r="T35" s="311"/>
      <c r="U35" s="312"/>
      <c r="V35" s="313"/>
      <c r="W35" s="314"/>
      <c r="X35" s="312"/>
    </row>
    <row r="36" spans="1:27" ht="18" customHeight="1" thickTop="1" thickBot="1" x14ac:dyDescent="0.25">
      <c r="A36" s="214" t="s">
        <v>166</v>
      </c>
      <c r="B36" s="955" t="s">
        <v>28</v>
      </c>
      <c r="C36" s="966"/>
      <c r="D36" s="955" t="s">
        <v>29</v>
      </c>
      <c r="E36" s="956"/>
      <c r="F36" s="955" t="s">
        <v>30</v>
      </c>
      <c r="G36" s="956"/>
      <c r="H36" s="955" t="s">
        <v>31</v>
      </c>
      <c r="I36" s="956"/>
      <c r="J36" s="955" t="s">
        <v>32</v>
      </c>
      <c r="K36" s="956"/>
      <c r="L36" s="955" t="s">
        <v>33</v>
      </c>
      <c r="M36" s="956"/>
      <c r="N36" s="955" t="s">
        <v>34</v>
      </c>
      <c r="O36" s="956"/>
      <c r="P36" s="955" t="s">
        <v>35</v>
      </c>
      <c r="Q36" s="956"/>
      <c r="R36" s="955" t="s">
        <v>36</v>
      </c>
      <c r="S36" s="956"/>
      <c r="T36" s="955" t="s">
        <v>187</v>
      </c>
      <c r="U36" s="963"/>
      <c r="V36" s="431"/>
      <c r="W36" s="961" t="s">
        <v>9</v>
      </c>
      <c r="X36" s="962"/>
      <c r="Y36" s="42"/>
      <c r="Z36" s="42"/>
      <c r="AA36" s="43"/>
    </row>
    <row r="37" spans="1:27" ht="15" customHeight="1" x14ac:dyDescent="0.2">
      <c r="A37" s="432" t="s">
        <v>143</v>
      </c>
      <c r="B37" s="215"/>
      <c r="C37" s="216">
        <v>0.96599999999999997</v>
      </c>
      <c r="D37" s="217"/>
      <c r="E37" s="218">
        <v>0.95599999999999996</v>
      </c>
      <c r="F37" s="219"/>
      <c r="G37" s="218">
        <v>0.91700000000000004</v>
      </c>
      <c r="H37" s="219"/>
      <c r="I37" s="218">
        <v>0.96399999999999997</v>
      </c>
      <c r="J37" s="219"/>
      <c r="K37" s="218">
        <v>0.97199999999999998</v>
      </c>
      <c r="L37" s="219"/>
      <c r="M37" s="218">
        <v>0.97099999999999997</v>
      </c>
      <c r="N37" s="219"/>
      <c r="O37" s="218">
        <v>0.96099999999999997</v>
      </c>
      <c r="P37" s="219"/>
      <c r="Q37" s="218">
        <v>0.94899999999999995</v>
      </c>
      <c r="R37" s="219"/>
      <c r="S37" s="218">
        <v>0.93400000000000005</v>
      </c>
      <c r="T37" s="219"/>
      <c r="U37" s="220">
        <v>0.93600000000000005</v>
      </c>
      <c r="V37" s="428"/>
      <c r="W37" s="221"/>
      <c r="X37" s="222">
        <f>AVERAGE(Q37,O37,M37,U37,S37)</f>
        <v>0.95019999999999993</v>
      </c>
      <c r="Y37" s="42"/>
      <c r="Z37" s="42"/>
      <c r="AA37" s="43"/>
    </row>
    <row r="38" spans="1:27" ht="15" customHeight="1" x14ac:dyDescent="0.2">
      <c r="A38" s="433" t="s">
        <v>144</v>
      </c>
      <c r="B38" s="223"/>
      <c r="C38" s="224">
        <v>6.0000000000000001E-3</v>
      </c>
      <c r="D38" s="223"/>
      <c r="E38" s="224">
        <v>1.2999999999999999E-2</v>
      </c>
      <c r="F38" s="225"/>
      <c r="G38" s="224">
        <v>4.0000000000000001E-3</v>
      </c>
      <c r="H38" s="225"/>
      <c r="I38" s="224">
        <v>7.0000000000000001E-3</v>
      </c>
      <c r="J38" s="225"/>
      <c r="K38" s="224">
        <v>0</v>
      </c>
      <c r="L38" s="225"/>
      <c r="M38" s="224">
        <v>4.0000000000000001E-3</v>
      </c>
      <c r="N38" s="225"/>
      <c r="O38" s="224">
        <v>4.0000000000000001E-3</v>
      </c>
      <c r="P38" s="225"/>
      <c r="Q38" s="224">
        <v>2E-3</v>
      </c>
      <c r="R38" s="225"/>
      <c r="S38" s="224">
        <v>3.0000000000000001E-3</v>
      </c>
      <c r="T38" s="225"/>
      <c r="U38" s="226">
        <v>4.0000000000000001E-3</v>
      </c>
      <c r="V38" s="428"/>
      <c r="W38" s="227"/>
      <c r="X38" s="228">
        <f>AVERAGE(Q38,O38,M38,U38,S38)</f>
        <v>3.4000000000000002E-3</v>
      </c>
      <c r="Y38" s="42"/>
      <c r="Z38" s="42"/>
      <c r="AA38" s="43"/>
    </row>
    <row r="39" spans="1:27" ht="15" customHeight="1" thickBot="1" x14ac:dyDescent="0.25">
      <c r="A39" s="229" t="s">
        <v>146</v>
      </c>
      <c r="B39" s="973">
        <f>1-C37-C38</f>
        <v>2.8000000000000032E-2</v>
      </c>
      <c r="C39" s="970"/>
      <c r="D39" s="973">
        <f>1-E37-E38</f>
        <v>3.1000000000000041E-2</v>
      </c>
      <c r="E39" s="970"/>
      <c r="F39" s="969">
        <v>1</v>
      </c>
      <c r="G39" s="970"/>
      <c r="H39" s="969">
        <v>1</v>
      </c>
      <c r="I39" s="970"/>
      <c r="J39" s="969">
        <v>0.98499999999999999</v>
      </c>
      <c r="K39" s="970"/>
      <c r="L39" s="969">
        <f>1-M37</f>
        <v>2.9000000000000026E-2</v>
      </c>
      <c r="M39" s="970"/>
      <c r="N39" s="969">
        <f>1-O37</f>
        <v>3.9000000000000035E-2</v>
      </c>
      <c r="O39" s="970"/>
      <c r="P39" s="969">
        <f>1-Q37</f>
        <v>5.1000000000000045E-2</v>
      </c>
      <c r="Q39" s="970"/>
      <c r="R39" s="969">
        <f>1-S37-S38</f>
        <v>6.2999999999999945E-2</v>
      </c>
      <c r="S39" s="970"/>
      <c r="T39" s="973">
        <f>1-U37-U38</f>
        <v>5.9999999999999942E-2</v>
      </c>
      <c r="U39" s="972"/>
      <c r="V39" s="428"/>
      <c r="W39" s="971">
        <f>AVERAGE(P39,N39,L39,T39,R39)</f>
        <v>4.8399999999999999E-2</v>
      </c>
      <c r="X39" s="972" t="e">
        <f>AVERAGE(Q39,O39,M39,U39,S39)</f>
        <v>#DIV/0!</v>
      </c>
      <c r="Y39" s="44"/>
      <c r="Z39" s="42"/>
      <c r="AA39" s="43"/>
    </row>
    <row r="40" spans="1:27" s="2" customFormat="1" ht="18" customHeight="1" thickTop="1" thickBot="1" x14ac:dyDescent="0.25">
      <c r="A40" s="181" t="s">
        <v>65</v>
      </c>
      <c r="B40" s="237" t="s">
        <v>37</v>
      </c>
      <c r="C40" s="238" t="s">
        <v>71</v>
      </c>
      <c r="D40" s="237" t="s">
        <v>37</v>
      </c>
      <c r="E40" s="238" t="s">
        <v>71</v>
      </c>
      <c r="F40" s="237" t="s">
        <v>37</v>
      </c>
      <c r="G40" s="238" t="s">
        <v>71</v>
      </c>
      <c r="H40" s="237" t="s">
        <v>37</v>
      </c>
      <c r="I40" s="238" t="s">
        <v>71</v>
      </c>
      <c r="J40" s="237" t="s">
        <v>37</v>
      </c>
      <c r="K40" s="238" t="s">
        <v>71</v>
      </c>
      <c r="L40" s="237" t="s">
        <v>37</v>
      </c>
      <c r="M40" s="238" t="s">
        <v>71</v>
      </c>
      <c r="N40" s="237" t="s">
        <v>37</v>
      </c>
      <c r="O40" s="238" t="s">
        <v>71</v>
      </c>
      <c r="P40" s="237" t="s">
        <v>37</v>
      </c>
      <c r="Q40" s="238" t="s">
        <v>71</v>
      </c>
      <c r="R40" s="237" t="s">
        <v>37</v>
      </c>
      <c r="S40" s="238" t="s">
        <v>71</v>
      </c>
      <c r="T40" s="237" t="s">
        <v>37</v>
      </c>
      <c r="U40" s="239" t="s">
        <v>71</v>
      </c>
      <c r="V40" s="240"/>
      <c r="W40" s="644" t="s">
        <v>37</v>
      </c>
      <c r="X40" s="645" t="s">
        <v>71</v>
      </c>
    </row>
    <row r="41" spans="1:27" ht="15" customHeight="1" thickBot="1" x14ac:dyDescent="0.25">
      <c r="A41" s="503" t="s">
        <v>66</v>
      </c>
      <c r="B41" s="402"/>
      <c r="C41" s="403">
        <f>B41/B15</f>
        <v>0</v>
      </c>
      <c r="D41" s="402"/>
      <c r="E41" s="403">
        <f>D41/D15</f>
        <v>0</v>
      </c>
      <c r="F41" s="875"/>
      <c r="G41" s="876"/>
      <c r="H41" s="402"/>
      <c r="I41" s="403">
        <f>H41/H15</f>
        <v>0</v>
      </c>
      <c r="J41" s="402"/>
      <c r="K41" s="403">
        <f>J41/J15</f>
        <v>0</v>
      </c>
      <c r="L41" s="402"/>
      <c r="M41" s="403">
        <f>L41/L15</f>
        <v>0</v>
      </c>
      <c r="N41" s="402"/>
      <c r="O41" s="403">
        <f>N41/N15</f>
        <v>0</v>
      </c>
      <c r="P41" s="402">
        <v>1</v>
      </c>
      <c r="Q41" s="403">
        <f>P41/P15</f>
        <v>0.1</v>
      </c>
      <c r="R41" s="402">
        <v>0</v>
      </c>
      <c r="S41" s="403">
        <f>R41/R15</f>
        <v>0</v>
      </c>
      <c r="T41" s="402"/>
      <c r="U41" s="435">
        <f>T41/T15</f>
        <v>0</v>
      </c>
      <c r="V41" s="231"/>
      <c r="W41" s="663">
        <f>AVERAGE(N41,L41,R41,T41,P41)</f>
        <v>0.5</v>
      </c>
      <c r="X41" s="664">
        <f>AVERAGE(O41,M41,S41,U41,Q41)</f>
        <v>0.02</v>
      </c>
    </row>
    <row r="42" spans="1:27" ht="15" customHeight="1" thickTop="1" x14ac:dyDescent="0.2">
      <c r="A42" s="27" t="s">
        <v>175</v>
      </c>
      <c r="B42" s="28"/>
      <c r="C42" s="29"/>
      <c r="D42" s="28"/>
      <c r="E42" s="29"/>
      <c r="F42" s="28"/>
      <c r="G42" s="29"/>
      <c r="H42" s="28"/>
      <c r="I42" s="29"/>
      <c r="J42" s="28"/>
      <c r="K42" s="29"/>
      <c r="L42" s="28"/>
      <c r="M42" s="29"/>
      <c r="N42" s="28"/>
      <c r="O42" s="29"/>
      <c r="P42" s="28"/>
      <c r="Q42" s="29"/>
      <c r="R42" s="28"/>
      <c r="S42" s="29"/>
      <c r="T42" s="28"/>
      <c r="U42" s="29"/>
      <c r="V42" s="66"/>
      <c r="W42" s="30"/>
      <c r="X42" s="31"/>
    </row>
    <row r="43" spans="1:27" s="1" customFormat="1" ht="15" customHeight="1" thickBot="1" x14ac:dyDescent="0.25">
      <c r="A43" s="310"/>
      <c r="B43" s="311"/>
      <c r="C43" s="429"/>
      <c r="D43" s="311"/>
      <c r="E43" s="429"/>
      <c r="F43" s="311"/>
      <c r="G43" s="429"/>
      <c r="H43" s="311"/>
      <c r="I43" s="429"/>
      <c r="J43" s="311"/>
      <c r="K43" s="429"/>
      <c r="L43" s="311"/>
      <c r="M43" s="429"/>
      <c r="N43" s="311"/>
      <c r="O43" s="429"/>
      <c r="P43" s="311"/>
      <c r="Q43" s="429"/>
      <c r="R43" s="311"/>
      <c r="S43" s="429"/>
      <c r="T43" s="311"/>
      <c r="U43" s="429"/>
      <c r="V43" s="182"/>
      <c r="W43" s="182"/>
      <c r="X43" s="430"/>
    </row>
    <row r="44" spans="1:27" s="1" customFormat="1" ht="18.75" customHeight="1" thickTop="1" thickBot="1" x14ac:dyDescent="0.25">
      <c r="A44" s="510" t="s">
        <v>161</v>
      </c>
      <c r="B44" s="974" t="s">
        <v>28</v>
      </c>
      <c r="C44" s="975"/>
      <c r="D44" s="974" t="s">
        <v>29</v>
      </c>
      <c r="E44" s="976"/>
      <c r="F44" s="974" t="s">
        <v>30</v>
      </c>
      <c r="G44" s="976"/>
      <c r="H44" s="974" t="s">
        <v>31</v>
      </c>
      <c r="I44" s="976"/>
      <c r="J44" s="974" t="s">
        <v>32</v>
      </c>
      <c r="K44" s="976"/>
      <c r="L44" s="974" t="s">
        <v>33</v>
      </c>
      <c r="M44" s="976"/>
      <c r="N44" s="974" t="s">
        <v>34</v>
      </c>
      <c r="O44" s="976"/>
      <c r="P44" s="974" t="s">
        <v>35</v>
      </c>
      <c r="Q44" s="976"/>
      <c r="R44" s="974" t="s">
        <v>36</v>
      </c>
      <c r="S44" s="976"/>
      <c r="T44" s="974" t="s">
        <v>187</v>
      </c>
      <c r="U44" s="978"/>
      <c r="V44" s="182"/>
      <c r="W44" s="977" t="s">
        <v>9</v>
      </c>
      <c r="X44" s="962"/>
    </row>
    <row r="45" spans="1:27" s="1" customFormat="1" ht="24" x14ac:dyDescent="0.2">
      <c r="A45" s="511" t="s">
        <v>167</v>
      </c>
      <c r="B45" s="512"/>
      <c r="C45" s="513"/>
      <c r="D45" s="512"/>
      <c r="E45" s="514"/>
      <c r="F45" s="512"/>
      <c r="G45" s="514"/>
      <c r="H45" s="512"/>
      <c r="I45" s="514"/>
      <c r="J45" s="512"/>
      <c r="K45" s="514"/>
      <c r="L45" s="512"/>
      <c r="M45" s="514"/>
      <c r="N45" s="512"/>
      <c r="O45" s="514"/>
      <c r="P45" s="512"/>
      <c r="Q45" s="514"/>
      <c r="R45" s="512"/>
      <c r="S45" s="514"/>
      <c r="T45" s="577"/>
      <c r="U45" s="580"/>
      <c r="V45" s="509"/>
      <c r="W45" s="832"/>
      <c r="X45" s="813"/>
    </row>
    <row r="46" spans="1:27" s="1" customFormat="1" ht="24" x14ac:dyDescent="0.2">
      <c r="A46" s="534" t="s">
        <v>140</v>
      </c>
      <c r="B46" s="225"/>
      <c r="C46" s="421">
        <v>11</v>
      </c>
      <c r="D46" s="225"/>
      <c r="E46" s="421">
        <v>13</v>
      </c>
      <c r="F46" s="225"/>
      <c r="G46" s="421">
        <v>13</v>
      </c>
      <c r="H46" s="225"/>
      <c r="I46" s="421">
        <v>16</v>
      </c>
      <c r="J46" s="225"/>
      <c r="K46" s="421">
        <v>17</v>
      </c>
      <c r="L46" s="225"/>
      <c r="M46" s="421">
        <v>16</v>
      </c>
      <c r="N46" s="225"/>
      <c r="O46" s="421">
        <v>15</v>
      </c>
      <c r="P46" s="225"/>
      <c r="Q46" s="421">
        <v>15</v>
      </c>
      <c r="R46" s="225"/>
      <c r="S46" s="421">
        <v>14</v>
      </c>
      <c r="T46" s="422"/>
      <c r="U46" s="297"/>
      <c r="V46" s="182"/>
      <c r="W46" s="573"/>
      <c r="X46" s="297">
        <f>AVERAGE(O46,M46,S46,U46,Q46)</f>
        <v>15</v>
      </c>
    </row>
    <row r="47" spans="1:27" s="1" customFormat="1" ht="24" x14ac:dyDescent="0.2">
      <c r="A47" s="534" t="s">
        <v>142</v>
      </c>
      <c r="B47" s="422"/>
      <c r="C47" s="515">
        <v>10</v>
      </c>
      <c r="D47" s="422"/>
      <c r="E47" s="515">
        <v>10</v>
      </c>
      <c r="F47" s="422"/>
      <c r="G47" s="515">
        <v>10</v>
      </c>
      <c r="H47" s="422"/>
      <c r="I47" s="515">
        <v>13</v>
      </c>
      <c r="J47" s="422"/>
      <c r="K47" s="515">
        <v>16</v>
      </c>
      <c r="L47" s="422"/>
      <c r="M47" s="515">
        <v>16</v>
      </c>
      <c r="N47" s="422"/>
      <c r="O47" s="515">
        <v>15</v>
      </c>
      <c r="P47" s="422"/>
      <c r="Q47" s="515">
        <v>15</v>
      </c>
      <c r="R47" s="422"/>
      <c r="S47" s="515">
        <v>14</v>
      </c>
      <c r="T47" s="422"/>
      <c r="U47" s="297"/>
      <c r="V47" s="182"/>
      <c r="W47" s="574"/>
      <c r="X47" s="575">
        <f>AVERAGE(O47,M47,S47,U47,Q47)</f>
        <v>15</v>
      </c>
    </row>
    <row r="48" spans="1:27" s="1" customFormat="1" ht="15" customHeight="1" thickBot="1" x14ac:dyDescent="0.25">
      <c r="A48" s="533" t="s">
        <v>141</v>
      </c>
      <c r="B48" s="516"/>
      <c r="C48" s="517">
        <v>10.8</v>
      </c>
      <c r="D48" s="516"/>
      <c r="E48" s="517">
        <v>12.8</v>
      </c>
      <c r="F48" s="516"/>
      <c r="G48" s="517">
        <v>12.8</v>
      </c>
      <c r="H48" s="516"/>
      <c r="I48" s="517">
        <v>15.85</v>
      </c>
      <c r="J48" s="516"/>
      <c r="K48" s="517">
        <v>16.899999999999999</v>
      </c>
      <c r="L48" s="516"/>
      <c r="M48" s="517">
        <v>15.75</v>
      </c>
      <c r="N48" s="516"/>
      <c r="O48" s="517">
        <v>14.75</v>
      </c>
      <c r="P48" s="516"/>
      <c r="Q48" s="517">
        <v>14.8</v>
      </c>
      <c r="R48" s="516"/>
      <c r="S48" s="517">
        <v>13.8</v>
      </c>
      <c r="T48" s="518"/>
      <c r="U48" s="519"/>
      <c r="V48" s="182"/>
      <c r="W48" s="814"/>
      <c r="X48" s="815">
        <f>AVERAGE(O48,M48,S48,U48,Q48)</f>
        <v>14.774999999999999</v>
      </c>
    </row>
    <row r="49" spans="1:24" s="1" customFormat="1" ht="18" customHeight="1" thickBot="1" x14ac:dyDescent="0.25">
      <c r="A49" s="532" t="s">
        <v>159</v>
      </c>
      <c r="B49" s="787" t="s">
        <v>38</v>
      </c>
      <c r="C49" s="523" t="s">
        <v>39</v>
      </c>
      <c r="D49" s="544" t="s">
        <v>38</v>
      </c>
      <c r="E49" s="545" t="s">
        <v>39</v>
      </c>
      <c r="F49" s="544" t="s">
        <v>38</v>
      </c>
      <c r="G49" s="545" t="s">
        <v>39</v>
      </c>
      <c r="H49" s="544" t="s">
        <v>38</v>
      </c>
      <c r="I49" s="545" t="s">
        <v>39</v>
      </c>
      <c r="J49" s="544" t="s">
        <v>38</v>
      </c>
      <c r="K49" s="545" t="s">
        <v>39</v>
      </c>
      <c r="L49" s="544" t="s">
        <v>38</v>
      </c>
      <c r="M49" s="545" t="s">
        <v>39</v>
      </c>
      <c r="N49" s="544" t="s">
        <v>38</v>
      </c>
      <c r="O49" s="545" t="s">
        <v>39</v>
      </c>
      <c r="P49" s="544" t="s">
        <v>38</v>
      </c>
      <c r="Q49" s="545" t="s">
        <v>39</v>
      </c>
      <c r="R49" s="544" t="s">
        <v>38</v>
      </c>
      <c r="S49" s="545" t="s">
        <v>39</v>
      </c>
      <c r="T49" s="544" t="s">
        <v>38</v>
      </c>
      <c r="U49" s="560" t="s">
        <v>39</v>
      </c>
      <c r="V49" s="182"/>
      <c r="W49" s="590" t="s">
        <v>38</v>
      </c>
      <c r="X49" s="483" t="s">
        <v>188</v>
      </c>
    </row>
    <row r="50" spans="1:24" s="1" customFormat="1" ht="15" customHeight="1" x14ac:dyDescent="0.2">
      <c r="A50" s="524" t="s">
        <v>40</v>
      </c>
      <c r="B50" s="546"/>
      <c r="C50" s="521"/>
      <c r="D50" s="546"/>
      <c r="E50" s="547"/>
      <c r="F50" s="552"/>
      <c r="G50" s="547"/>
      <c r="H50" s="552"/>
      <c r="I50" s="547"/>
      <c r="J50" s="552"/>
      <c r="K50" s="547"/>
      <c r="L50" s="552"/>
      <c r="M50" s="547"/>
      <c r="N50" s="552"/>
      <c r="O50" s="547"/>
      <c r="P50" s="552"/>
      <c r="Q50" s="547"/>
      <c r="R50" s="552"/>
      <c r="S50" s="547"/>
      <c r="T50" s="552"/>
      <c r="U50" s="561"/>
      <c r="V50" s="182"/>
      <c r="W50" s="566"/>
      <c r="X50" s="806"/>
    </row>
    <row r="51" spans="1:24" s="1" customFormat="1" ht="15" customHeight="1" x14ac:dyDescent="0.2">
      <c r="A51" s="526" t="s">
        <v>41</v>
      </c>
      <c r="B51" s="128"/>
      <c r="C51" s="93">
        <v>16</v>
      </c>
      <c r="D51" s="128"/>
      <c r="E51" s="548">
        <v>18</v>
      </c>
      <c r="F51" s="128"/>
      <c r="G51" s="548">
        <v>17</v>
      </c>
      <c r="H51" s="128"/>
      <c r="I51" s="548">
        <v>17</v>
      </c>
      <c r="J51" s="557">
        <v>17</v>
      </c>
      <c r="K51" s="548">
        <v>17</v>
      </c>
      <c r="L51" s="557">
        <v>16</v>
      </c>
      <c r="M51" s="548">
        <v>16</v>
      </c>
      <c r="N51" s="557">
        <v>18</v>
      </c>
      <c r="O51" s="548">
        <v>18</v>
      </c>
      <c r="P51" s="557">
        <v>17</v>
      </c>
      <c r="Q51" s="548">
        <v>17</v>
      </c>
      <c r="R51" s="557">
        <v>16</v>
      </c>
      <c r="S51" s="548">
        <v>16</v>
      </c>
      <c r="T51" s="557"/>
      <c r="U51" s="562"/>
      <c r="V51" s="182"/>
      <c r="W51" s="807">
        <f>AVERAGE(N51,L51,R51,T51,P51)</f>
        <v>16.75</v>
      </c>
      <c r="X51" s="808">
        <f>AVERAGE(O51,M51,S51,U51,Q51)</f>
        <v>16.75</v>
      </c>
    </row>
    <row r="52" spans="1:24" s="1" customFormat="1" ht="15" customHeight="1" x14ac:dyDescent="0.2">
      <c r="A52" s="526" t="s">
        <v>42</v>
      </c>
      <c r="B52" s="128"/>
      <c r="C52" s="93">
        <v>1</v>
      </c>
      <c r="D52" s="128"/>
      <c r="E52" s="548">
        <v>1</v>
      </c>
      <c r="F52" s="128"/>
      <c r="G52" s="548">
        <v>0</v>
      </c>
      <c r="H52" s="128"/>
      <c r="I52" s="548">
        <v>0</v>
      </c>
      <c r="J52" s="557">
        <v>0</v>
      </c>
      <c r="K52" s="548">
        <v>0</v>
      </c>
      <c r="L52" s="557">
        <v>0</v>
      </c>
      <c r="M52" s="548">
        <v>0</v>
      </c>
      <c r="N52" s="557">
        <v>0</v>
      </c>
      <c r="O52" s="548">
        <v>0</v>
      </c>
      <c r="P52" s="557">
        <v>0.3</v>
      </c>
      <c r="Q52" s="548">
        <v>1</v>
      </c>
      <c r="R52" s="557">
        <v>0.5</v>
      </c>
      <c r="S52" s="548">
        <v>1</v>
      </c>
      <c r="T52" s="553"/>
      <c r="U52" s="562"/>
      <c r="V52" s="182"/>
      <c r="W52" s="807">
        <f t="shared" ref="W52:X55" si="6">AVERAGE(N52,L52,R52,T52,P52)</f>
        <v>0.2</v>
      </c>
      <c r="X52" s="808">
        <f t="shared" si="6"/>
        <v>0.5</v>
      </c>
    </row>
    <row r="53" spans="1:24" s="1" customFormat="1" ht="15" customHeight="1" x14ac:dyDescent="0.2">
      <c r="A53" s="525" t="s">
        <v>43</v>
      </c>
      <c r="B53" s="549"/>
      <c r="C53" s="295"/>
      <c r="D53" s="549"/>
      <c r="E53" s="550"/>
      <c r="F53" s="553"/>
      <c r="G53" s="550"/>
      <c r="H53" s="553"/>
      <c r="I53" s="550"/>
      <c r="J53" s="557"/>
      <c r="K53" s="550"/>
      <c r="L53" s="553"/>
      <c r="M53" s="550"/>
      <c r="N53" s="553"/>
      <c r="O53" s="550"/>
      <c r="P53" s="553"/>
      <c r="Q53" s="550"/>
      <c r="R53" s="553"/>
      <c r="S53" s="550"/>
      <c r="T53" s="553"/>
      <c r="U53" s="563"/>
      <c r="V53" s="182"/>
      <c r="W53" s="807"/>
      <c r="X53" s="808"/>
    </row>
    <row r="54" spans="1:24" s="1" customFormat="1" ht="15" customHeight="1" x14ac:dyDescent="0.2">
      <c r="A54" s="526" t="s">
        <v>41</v>
      </c>
      <c r="B54" s="128"/>
      <c r="C54" s="295">
        <v>0</v>
      </c>
      <c r="D54" s="128"/>
      <c r="E54" s="550">
        <v>0</v>
      </c>
      <c r="F54" s="128"/>
      <c r="G54" s="550">
        <v>0</v>
      </c>
      <c r="H54" s="128"/>
      <c r="I54" s="550">
        <v>0</v>
      </c>
      <c r="J54" s="557">
        <v>0</v>
      </c>
      <c r="K54" s="550">
        <v>0</v>
      </c>
      <c r="L54" s="557">
        <v>0</v>
      </c>
      <c r="M54" s="550">
        <v>0</v>
      </c>
      <c r="N54" s="557">
        <v>0</v>
      </c>
      <c r="O54" s="550">
        <v>0</v>
      </c>
      <c r="P54" s="557">
        <v>0</v>
      </c>
      <c r="Q54" s="550">
        <v>0</v>
      </c>
      <c r="R54" s="557">
        <v>0</v>
      </c>
      <c r="S54" s="550">
        <v>0</v>
      </c>
      <c r="T54" s="557"/>
      <c r="U54" s="563"/>
      <c r="V54" s="182"/>
      <c r="W54" s="807">
        <f t="shared" si="6"/>
        <v>0</v>
      </c>
      <c r="X54" s="808">
        <f t="shared" si="6"/>
        <v>0</v>
      </c>
    </row>
    <row r="55" spans="1:24" s="1" customFormat="1" ht="15" customHeight="1" thickBot="1" x14ac:dyDescent="0.25">
      <c r="A55" s="527" t="s">
        <v>42</v>
      </c>
      <c r="B55" s="469"/>
      <c r="C55" s="535">
        <v>1</v>
      </c>
      <c r="D55" s="469"/>
      <c r="E55" s="551">
        <v>0</v>
      </c>
      <c r="F55" s="469"/>
      <c r="G55" s="551">
        <v>0</v>
      </c>
      <c r="H55" s="469"/>
      <c r="I55" s="551">
        <v>0</v>
      </c>
      <c r="J55" s="558">
        <v>0</v>
      </c>
      <c r="K55" s="551">
        <v>0</v>
      </c>
      <c r="L55" s="558">
        <v>0</v>
      </c>
      <c r="M55" s="551">
        <v>0</v>
      </c>
      <c r="N55" s="558">
        <v>0</v>
      </c>
      <c r="O55" s="551">
        <v>0</v>
      </c>
      <c r="P55" s="558">
        <v>0</v>
      </c>
      <c r="Q55" s="551">
        <v>0</v>
      </c>
      <c r="R55" s="558">
        <v>0</v>
      </c>
      <c r="S55" s="551">
        <v>0</v>
      </c>
      <c r="T55" s="558"/>
      <c r="U55" s="564"/>
      <c r="V55" s="182"/>
      <c r="W55" s="807">
        <f t="shared" si="6"/>
        <v>0</v>
      </c>
      <c r="X55" s="808">
        <f t="shared" si="6"/>
        <v>0</v>
      </c>
    </row>
    <row r="56" spans="1:24" s="1" customFormat="1" ht="15" customHeight="1" thickBot="1" x14ac:dyDescent="0.25">
      <c r="A56" s="536" t="s">
        <v>26</v>
      </c>
      <c r="B56" s="556"/>
      <c r="C56" s="538">
        <f>SUM(C51:C55)</f>
        <v>18</v>
      </c>
      <c r="D56" s="556"/>
      <c r="E56" s="555">
        <f>SUM(E51:E55)</f>
        <v>19</v>
      </c>
      <c r="F56" s="554"/>
      <c r="G56" s="555">
        <f>SUM(G51:G55)</f>
        <v>17</v>
      </c>
      <c r="H56" s="554"/>
      <c r="I56" s="555">
        <f>SUM(I51:I55)</f>
        <v>17</v>
      </c>
      <c r="J56" s="559">
        <f t="shared" ref="J56:S56" si="7">SUM(J51:J55)</f>
        <v>17</v>
      </c>
      <c r="K56" s="555">
        <f t="shared" si="7"/>
        <v>17</v>
      </c>
      <c r="L56" s="559">
        <f t="shared" si="7"/>
        <v>16</v>
      </c>
      <c r="M56" s="555">
        <f t="shared" si="7"/>
        <v>16</v>
      </c>
      <c r="N56" s="559">
        <f t="shared" si="7"/>
        <v>18</v>
      </c>
      <c r="O56" s="555">
        <f t="shared" si="7"/>
        <v>18</v>
      </c>
      <c r="P56" s="559">
        <f t="shared" si="7"/>
        <v>17.3</v>
      </c>
      <c r="Q56" s="555">
        <f t="shared" si="7"/>
        <v>18</v>
      </c>
      <c r="R56" s="559">
        <f t="shared" si="7"/>
        <v>16.5</v>
      </c>
      <c r="S56" s="555">
        <f t="shared" si="7"/>
        <v>17</v>
      </c>
      <c r="T56" s="559">
        <f t="shared" ref="T56:U56" si="8">SUM(T51:T55)</f>
        <v>0</v>
      </c>
      <c r="U56" s="565">
        <f t="shared" si="8"/>
        <v>0</v>
      </c>
      <c r="V56" s="182"/>
      <c r="W56" s="809">
        <f>AVERAGE(N56,L56,R56,T56,P56)</f>
        <v>13.559999999999999</v>
      </c>
      <c r="X56" s="810">
        <f>AVERAGE(O56,M56,S56,U56,Q56)</f>
        <v>13.8</v>
      </c>
    </row>
    <row r="57" spans="1:24" s="1" customFormat="1" ht="18" customHeight="1" thickBot="1" x14ac:dyDescent="0.25">
      <c r="A57" s="532" t="s">
        <v>169</v>
      </c>
      <c r="B57" s="539" t="s">
        <v>37</v>
      </c>
      <c r="C57" s="540" t="s">
        <v>44</v>
      </c>
      <c r="D57" s="539" t="s">
        <v>37</v>
      </c>
      <c r="E57" s="541" t="s">
        <v>44</v>
      </c>
      <c r="F57" s="542" t="s">
        <v>37</v>
      </c>
      <c r="G57" s="541" t="s">
        <v>44</v>
      </c>
      <c r="H57" s="542" t="s">
        <v>37</v>
      </c>
      <c r="I57" s="541" t="s">
        <v>44</v>
      </c>
      <c r="J57" s="542" t="s">
        <v>37</v>
      </c>
      <c r="K57" s="541" t="s">
        <v>44</v>
      </c>
      <c r="L57" s="542" t="s">
        <v>37</v>
      </c>
      <c r="M57" s="541" t="s">
        <v>44</v>
      </c>
      <c r="N57" s="542" t="s">
        <v>37</v>
      </c>
      <c r="O57" s="541" t="s">
        <v>44</v>
      </c>
      <c r="P57" s="542" t="s">
        <v>37</v>
      </c>
      <c r="Q57" s="541" t="s">
        <v>44</v>
      </c>
      <c r="R57" s="542" t="s">
        <v>37</v>
      </c>
      <c r="S57" s="541" t="s">
        <v>44</v>
      </c>
      <c r="T57" s="542" t="s">
        <v>37</v>
      </c>
      <c r="U57" s="543" t="s">
        <v>44</v>
      </c>
      <c r="V57" s="182"/>
      <c r="W57" s="482" t="s">
        <v>37</v>
      </c>
      <c r="X57" s="543" t="s">
        <v>44</v>
      </c>
    </row>
    <row r="58" spans="1:24" s="1" customFormat="1" ht="18" customHeight="1" x14ac:dyDescent="0.2">
      <c r="A58" s="530" t="s">
        <v>168</v>
      </c>
      <c r="B58" s="528"/>
      <c r="C58" s="183"/>
      <c r="D58" s="528"/>
      <c r="E58" s="184"/>
      <c r="F58" s="529"/>
      <c r="G58" s="184"/>
      <c r="H58" s="529"/>
      <c r="I58" s="184"/>
      <c r="J58" s="529"/>
      <c r="K58" s="184"/>
      <c r="L58" s="529"/>
      <c r="M58" s="184"/>
      <c r="N58" s="529"/>
      <c r="O58" s="184"/>
      <c r="P58" s="529"/>
      <c r="Q58" s="184"/>
      <c r="R58" s="529"/>
      <c r="S58" s="184"/>
      <c r="T58" s="529"/>
      <c r="U58" s="185"/>
      <c r="V58" s="182"/>
      <c r="W58" s="480"/>
      <c r="X58" s="602"/>
    </row>
    <row r="59" spans="1:24" s="1" customFormat="1" ht="15" customHeight="1" x14ac:dyDescent="0.2">
      <c r="A59" s="186" t="s">
        <v>45</v>
      </c>
      <c r="B59" s="187">
        <v>17</v>
      </c>
      <c r="C59" s="188">
        <f t="shared" ref="C59:C66" si="9">B59/C$56</f>
        <v>0.94444444444444442</v>
      </c>
      <c r="D59" s="187">
        <v>18</v>
      </c>
      <c r="E59" s="189">
        <f t="shared" ref="E59:K66" si="10">D59/E$56</f>
        <v>0.94736842105263153</v>
      </c>
      <c r="F59" s="190">
        <v>16</v>
      </c>
      <c r="G59" s="189">
        <f t="shared" si="10"/>
        <v>0.94117647058823528</v>
      </c>
      <c r="H59" s="190">
        <v>16</v>
      </c>
      <c r="I59" s="189">
        <f t="shared" ref="I59:I66" si="11">H59/I$56</f>
        <v>0.94117647058823528</v>
      </c>
      <c r="J59" s="190">
        <f>16</f>
        <v>16</v>
      </c>
      <c r="K59" s="189">
        <f t="shared" si="10"/>
        <v>0.94117647058823528</v>
      </c>
      <c r="L59" s="190">
        <v>15</v>
      </c>
      <c r="M59" s="189">
        <f t="shared" ref="M59:M64" si="12">L59/M$56</f>
        <v>0.9375</v>
      </c>
      <c r="N59" s="190">
        <v>17</v>
      </c>
      <c r="O59" s="189">
        <f t="shared" ref="O59:Q64" si="13">N59/O$56</f>
        <v>0.94444444444444442</v>
      </c>
      <c r="P59" s="190">
        <v>17</v>
      </c>
      <c r="Q59" s="189">
        <f t="shared" si="13"/>
        <v>0.94444444444444442</v>
      </c>
      <c r="R59" s="190">
        <v>16</v>
      </c>
      <c r="S59" s="189">
        <f t="shared" ref="S59:S64" si="14">R59/S$56</f>
        <v>0.94117647058823528</v>
      </c>
      <c r="T59" s="190"/>
      <c r="U59" s="191" t="e">
        <f t="shared" ref="U59:U64" si="15">T59/U$56</f>
        <v>#DIV/0!</v>
      </c>
      <c r="V59" s="192"/>
      <c r="W59" s="807">
        <f t="shared" ref="W59:W78" si="16">AVERAGE(N59,L59,R59,T59,P59)</f>
        <v>16.25</v>
      </c>
      <c r="X59" s="193" t="e">
        <f>AVERAGE(O59,M59,U59,S59,Q59)</f>
        <v>#DIV/0!</v>
      </c>
    </row>
    <row r="60" spans="1:24" s="1" customFormat="1" ht="15" customHeight="1" x14ac:dyDescent="0.2">
      <c r="A60" s="194" t="s">
        <v>46</v>
      </c>
      <c r="B60" s="187">
        <v>0</v>
      </c>
      <c r="C60" s="188">
        <f t="shared" si="9"/>
        <v>0</v>
      </c>
      <c r="D60" s="187">
        <v>0</v>
      </c>
      <c r="E60" s="189">
        <f t="shared" si="10"/>
        <v>0</v>
      </c>
      <c r="F60" s="190">
        <v>0</v>
      </c>
      <c r="G60" s="189">
        <f t="shared" si="10"/>
        <v>0</v>
      </c>
      <c r="H60" s="190">
        <v>0</v>
      </c>
      <c r="I60" s="189">
        <f t="shared" si="11"/>
        <v>0</v>
      </c>
      <c r="J60" s="190">
        <v>0</v>
      </c>
      <c r="K60" s="189">
        <f t="shared" si="10"/>
        <v>0</v>
      </c>
      <c r="L60" s="190">
        <v>0</v>
      </c>
      <c r="M60" s="189">
        <f t="shared" si="12"/>
        <v>0</v>
      </c>
      <c r="N60" s="190">
        <v>0</v>
      </c>
      <c r="O60" s="189">
        <f t="shared" si="13"/>
        <v>0</v>
      </c>
      <c r="P60" s="190">
        <v>0</v>
      </c>
      <c r="Q60" s="189">
        <f t="shared" si="13"/>
        <v>0</v>
      </c>
      <c r="R60" s="190">
        <v>0</v>
      </c>
      <c r="S60" s="189">
        <f t="shared" si="14"/>
        <v>0</v>
      </c>
      <c r="T60" s="190"/>
      <c r="U60" s="191" t="e">
        <f t="shared" si="15"/>
        <v>#DIV/0!</v>
      </c>
      <c r="V60" s="192"/>
      <c r="W60" s="807">
        <f t="shared" si="16"/>
        <v>0</v>
      </c>
      <c r="X60" s="193" t="e">
        <f t="shared" ref="X60:X78" si="17">AVERAGE(O60,M60,U60,S60,Q60)</f>
        <v>#DIV/0!</v>
      </c>
    </row>
    <row r="61" spans="1:24" s="1" customFormat="1" ht="15" customHeight="1" x14ac:dyDescent="0.2">
      <c r="A61" s="194" t="s">
        <v>47</v>
      </c>
      <c r="B61" s="187">
        <v>0</v>
      </c>
      <c r="C61" s="188">
        <f t="shared" si="9"/>
        <v>0</v>
      </c>
      <c r="D61" s="187">
        <v>1</v>
      </c>
      <c r="E61" s="189">
        <f t="shared" si="10"/>
        <v>5.2631578947368418E-2</v>
      </c>
      <c r="F61" s="190">
        <v>1</v>
      </c>
      <c r="G61" s="189">
        <f t="shared" si="10"/>
        <v>5.8823529411764705E-2</v>
      </c>
      <c r="H61" s="190">
        <v>1</v>
      </c>
      <c r="I61" s="189">
        <f t="shared" si="11"/>
        <v>5.8823529411764705E-2</v>
      </c>
      <c r="J61" s="190">
        <v>0</v>
      </c>
      <c r="K61" s="189">
        <f t="shared" si="10"/>
        <v>0</v>
      </c>
      <c r="L61" s="190">
        <v>0</v>
      </c>
      <c r="M61" s="189">
        <f t="shared" si="12"/>
        <v>0</v>
      </c>
      <c r="N61" s="190">
        <v>0</v>
      </c>
      <c r="O61" s="189">
        <f t="shared" si="13"/>
        <v>0</v>
      </c>
      <c r="P61" s="190">
        <v>0</v>
      </c>
      <c r="Q61" s="189">
        <f t="shared" si="13"/>
        <v>0</v>
      </c>
      <c r="R61" s="190">
        <v>0</v>
      </c>
      <c r="S61" s="189">
        <f t="shared" si="14"/>
        <v>0</v>
      </c>
      <c r="T61" s="190"/>
      <c r="U61" s="191" t="e">
        <f t="shared" si="15"/>
        <v>#DIV/0!</v>
      </c>
      <c r="V61" s="192"/>
      <c r="W61" s="807">
        <f t="shared" si="16"/>
        <v>0</v>
      </c>
      <c r="X61" s="193" t="e">
        <f t="shared" si="17"/>
        <v>#DIV/0!</v>
      </c>
    </row>
    <row r="62" spans="1:24" s="1" customFormat="1" ht="15" customHeight="1" x14ac:dyDescent="0.2">
      <c r="A62" s="194" t="s">
        <v>48</v>
      </c>
      <c r="B62" s="187">
        <v>0</v>
      </c>
      <c r="C62" s="188">
        <f t="shared" si="9"/>
        <v>0</v>
      </c>
      <c r="D62" s="187">
        <v>0</v>
      </c>
      <c r="E62" s="189">
        <f t="shared" si="10"/>
        <v>0</v>
      </c>
      <c r="F62" s="190">
        <v>0</v>
      </c>
      <c r="G62" s="189">
        <f t="shared" si="10"/>
        <v>0</v>
      </c>
      <c r="H62" s="190">
        <v>0</v>
      </c>
      <c r="I62" s="189">
        <f t="shared" si="11"/>
        <v>0</v>
      </c>
      <c r="J62" s="190">
        <v>0</v>
      </c>
      <c r="K62" s="189">
        <f t="shared" si="10"/>
        <v>0</v>
      </c>
      <c r="L62" s="190">
        <v>0</v>
      </c>
      <c r="M62" s="189">
        <f t="shared" si="12"/>
        <v>0</v>
      </c>
      <c r="N62" s="190">
        <v>0</v>
      </c>
      <c r="O62" s="189">
        <f t="shared" si="13"/>
        <v>0</v>
      </c>
      <c r="P62" s="190">
        <v>0</v>
      </c>
      <c r="Q62" s="189">
        <f t="shared" si="13"/>
        <v>0</v>
      </c>
      <c r="R62" s="190">
        <v>0</v>
      </c>
      <c r="S62" s="189">
        <f t="shared" si="14"/>
        <v>0</v>
      </c>
      <c r="T62" s="190"/>
      <c r="U62" s="191" t="e">
        <f t="shared" si="15"/>
        <v>#DIV/0!</v>
      </c>
      <c r="V62" s="192"/>
      <c r="W62" s="807">
        <f t="shared" si="16"/>
        <v>0</v>
      </c>
      <c r="X62" s="193" t="e">
        <f t="shared" si="17"/>
        <v>#DIV/0!</v>
      </c>
    </row>
    <row r="63" spans="1:24" s="1" customFormat="1" ht="15" customHeight="1" x14ac:dyDescent="0.2">
      <c r="A63" s="194" t="s">
        <v>49</v>
      </c>
      <c r="B63" s="187">
        <v>0</v>
      </c>
      <c r="C63" s="188">
        <f t="shared" si="9"/>
        <v>0</v>
      </c>
      <c r="D63" s="187">
        <v>0</v>
      </c>
      <c r="E63" s="189">
        <f t="shared" si="10"/>
        <v>0</v>
      </c>
      <c r="F63" s="190">
        <v>0</v>
      </c>
      <c r="G63" s="189">
        <f t="shared" si="10"/>
        <v>0</v>
      </c>
      <c r="H63" s="190">
        <v>0</v>
      </c>
      <c r="I63" s="189">
        <f t="shared" si="11"/>
        <v>0</v>
      </c>
      <c r="J63" s="190">
        <v>0</v>
      </c>
      <c r="K63" s="189">
        <f t="shared" si="10"/>
        <v>0</v>
      </c>
      <c r="L63" s="190">
        <v>0</v>
      </c>
      <c r="M63" s="189">
        <f t="shared" si="12"/>
        <v>0</v>
      </c>
      <c r="N63" s="190">
        <v>1</v>
      </c>
      <c r="O63" s="189">
        <f t="shared" si="13"/>
        <v>5.5555555555555552E-2</v>
      </c>
      <c r="P63" s="190">
        <v>1</v>
      </c>
      <c r="Q63" s="189">
        <f t="shared" si="13"/>
        <v>5.5555555555555552E-2</v>
      </c>
      <c r="R63" s="190">
        <v>1</v>
      </c>
      <c r="S63" s="189">
        <f t="shared" si="14"/>
        <v>5.8823529411764705E-2</v>
      </c>
      <c r="T63" s="190"/>
      <c r="U63" s="191" t="e">
        <f t="shared" si="15"/>
        <v>#DIV/0!</v>
      </c>
      <c r="V63" s="192"/>
      <c r="W63" s="807">
        <f t="shared" si="16"/>
        <v>0.75</v>
      </c>
      <c r="X63" s="193" t="e">
        <f t="shared" si="17"/>
        <v>#DIV/0!</v>
      </c>
    </row>
    <row r="64" spans="1:24" s="1" customFormat="1" ht="15" customHeight="1" x14ac:dyDescent="0.2">
      <c r="A64" s="194" t="s">
        <v>50</v>
      </c>
      <c r="B64" s="187">
        <v>0</v>
      </c>
      <c r="C64" s="188">
        <f t="shared" si="9"/>
        <v>0</v>
      </c>
      <c r="D64" s="187">
        <v>0</v>
      </c>
      <c r="E64" s="189">
        <f t="shared" si="10"/>
        <v>0</v>
      </c>
      <c r="F64" s="190">
        <v>0</v>
      </c>
      <c r="G64" s="189">
        <f t="shared" si="10"/>
        <v>0</v>
      </c>
      <c r="H64" s="190">
        <v>0</v>
      </c>
      <c r="I64" s="189">
        <f t="shared" si="11"/>
        <v>0</v>
      </c>
      <c r="J64" s="190">
        <v>1</v>
      </c>
      <c r="K64" s="189">
        <f t="shared" si="10"/>
        <v>5.8823529411764705E-2</v>
      </c>
      <c r="L64" s="190">
        <v>1</v>
      </c>
      <c r="M64" s="189">
        <f t="shared" si="12"/>
        <v>6.25E-2</v>
      </c>
      <c r="N64" s="190">
        <v>0</v>
      </c>
      <c r="O64" s="189">
        <f t="shared" si="13"/>
        <v>0</v>
      </c>
      <c r="P64" s="190">
        <v>0</v>
      </c>
      <c r="Q64" s="189">
        <f t="shared" si="13"/>
        <v>0</v>
      </c>
      <c r="R64" s="190">
        <v>0</v>
      </c>
      <c r="S64" s="189">
        <f t="shared" si="14"/>
        <v>0</v>
      </c>
      <c r="T64" s="190"/>
      <c r="U64" s="191" t="e">
        <f t="shared" si="15"/>
        <v>#DIV/0!</v>
      </c>
      <c r="V64" s="192"/>
      <c r="W64" s="807">
        <f t="shared" si="16"/>
        <v>0.25</v>
      </c>
      <c r="X64" s="193" t="e">
        <f t="shared" si="17"/>
        <v>#DIV/0!</v>
      </c>
    </row>
    <row r="65" spans="1:24" s="1" customFormat="1" ht="15" customHeight="1" x14ac:dyDescent="0.2">
      <c r="A65" s="194" t="s">
        <v>51</v>
      </c>
      <c r="B65" s="195"/>
      <c r="C65" s="188">
        <f t="shared" si="9"/>
        <v>0</v>
      </c>
      <c r="D65" s="195"/>
      <c r="E65" s="189">
        <f t="shared" si="10"/>
        <v>0</v>
      </c>
      <c r="F65" s="196"/>
      <c r="G65" s="189">
        <f t="shared" si="10"/>
        <v>0</v>
      </c>
      <c r="H65" s="196">
        <v>0</v>
      </c>
      <c r="I65" s="189">
        <f t="shared" si="11"/>
        <v>0</v>
      </c>
      <c r="J65" s="196">
        <v>0</v>
      </c>
      <c r="K65" s="189">
        <f>J65/K$56</f>
        <v>0</v>
      </c>
      <c r="L65" s="196">
        <v>0</v>
      </c>
      <c r="M65" s="189">
        <f>L65/M$56</f>
        <v>0</v>
      </c>
      <c r="N65" s="196">
        <v>0</v>
      </c>
      <c r="O65" s="189">
        <f>N65/O$56</f>
        <v>0</v>
      </c>
      <c r="P65" s="196">
        <v>0</v>
      </c>
      <c r="Q65" s="189">
        <f>P65/Q$56</f>
        <v>0</v>
      </c>
      <c r="R65" s="196">
        <v>0</v>
      </c>
      <c r="S65" s="189">
        <f>R65/S$56</f>
        <v>0</v>
      </c>
      <c r="T65" s="190"/>
      <c r="U65" s="191" t="e">
        <f>T65/U$56</f>
        <v>#DIV/0!</v>
      </c>
      <c r="V65" s="192"/>
      <c r="W65" s="807">
        <f t="shared" si="16"/>
        <v>0</v>
      </c>
      <c r="X65" s="193" t="e">
        <f t="shared" si="17"/>
        <v>#DIV/0!</v>
      </c>
    </row>
    <row r="66" spans="1:24" s="1" customFormat="1" ht="15" customHeight="1" thickBot="1" x14ac:dyDescent="0.25">
      <c r="A66" s="194" t="s">
        <v>52</v>
      </c>
      <c r="B66" s="195">
        <v>0</v>
      </c>
      <c r="C66" s="627">
        <f t="shared" si="9"/>
        <v>0</v>
      </c>
      <c r="D66" s="195">
        <v>0</v>
      </c>
      <c r="E66" s="628">
        <f t="shared" si="10"/>
        <v>0</v>
      </c>
      <c r="F66" s="196">
        <v>0</v>
      </c>
      <c r="G66" s="628">
        <f t="shared" si="10"/>
        <v>0</v>
      </c>
      <c r="H66" s="196">
        <v>0</v>
      </c>
      <c r="I66" s="628">
        <f t="shared" si="11"/>
        <v>0</v>
      </c>
      <c r="J66" s="196">
        <v>0</v>
      </c>
      <c r="K66" s="628">
        <f t="shared" si="10"/>
        <v>0</v>
      </c>
      <c r="L66" s="196">
        <v>0</v>
      </c>
      <c r="M66" s="628">
        <f>L66/M$56</f>
        <v>0</v>
      </c>
      <c r="N66" s="196">
        <v>0</v>
      </c>
      <c r="O66" s="628">
        <f>N66/O$56</f>
        <v>0</v>
      </c>
      <c r="P66" s="196">
        <v>0</v>
      </c>
      <c r="Q66" s="628">
        <f>P66/Q$56</f>
        <v>0</v>
      </c>
      <c r="R66" s="196">
        <v>0</v>
      </c>
      <c r="S66" s="628">
        <f>R66/S$56</f>
        <v>0</v>
      </c>
      <c r="T66" s="196"/>
      <c r="U66" s="629" t="e">
        <f>T66/U$56</f>
        <v>#DIV/0!</v>
      </c>
      <c r="V66" s="192"/>
      <c r="W66" s="807">
        <f t="shared" si="16"/>
        <v>0</v>
      </c>
      <c r="X66" s="193" t="e">
        <f t="shared" si="17"/>
        <v>#DIV/0!</v>
      </c>
    </row>
    <row r="67" spans="1:24" s="1" customFormat="1" ht="18" customHeight="1" x14ac:dyDescent="0.2">
      <c r="A67" s="603" t="s">
        <v>53</v>
      </c>
      <c r="B67" s="632"/>
      <c r="C67" s="633"/>
      <c r="D67" s="632"/>
      <c r="E67" s="634"/>
      <c r="F67" s="635"/>
      <c r="G67" s="634"/>
      <c r="H67" s="635"/>
      <c r="I67" s="634"/>
      <c r="J67" s="635"/>
      <c r="K67" s="634"/>
      <c r="L67" s="635"/>
      <c r="M67" s="634"/>
      <c r="N67" s="635"/>
      <c r="O67" s="634"/>
      <c r="P67" s="635"/>
      <c r="Q67" s="634"/>
      <c r="R67" s="635"/>
      <c r="S67" s="634"/>
      <c r="T67" s="635"/>
      <c r="U67" s="636"/>
      <c r="V67" s="192"/>
      <c r="W67" s="807"/>
      <c r="X67" s="193"/>
    </row>
    <row r="68" spans="1:24" s="1" customFormat="1" ht="15" customHeight="1" x14ac:dyDescent="0.2">
      <c r="A68" s="186" t="s">
        <v>54</v>
      </c>
      <c r="B68" s="202">
        <v>12</v>
      </c>
      <c r="C68" s="188">
        <f>B68/C$56</f>
        <v>0.66666666666666663</v>
      </c>
      <c r="D68" s="202">
        <v>15</v>
      </c>
      <c r="E68" s="189">
        <f>D68/E$56</f>
        <v>0.78947368421052633</v>
      </c>
      <c r="F68" s="93">
        <v>14</v>
      </c>
      <c r="G68" s="189">
        <f>F68/G$56</f>
        <v>0.82352941176470584</v>
      </c>
      <c r="H68" s="93">
        <v>14</v>
      </c>
      <c r="I68" s="189">
        <f>H68/I$56</f>
        <v>0.82352941176470584</v>
      </c>
      <c r="J68" s="93">
        <v>14</v>
      </c>
      <c r="K68" s="189">
        <f>J68/K$56</f>
        <v>0.82352941176470584</v>
      </c>
      <c r="L68" s="93">
        <v>14</v>
      </c>
      <c r="M68" s="189">
        <f>L68/M$56</f>
        <v>0.875</v>
      </c>
      <c r="N68" s="93">
        <v>15</v>
      </c>
      <c r="O68" s="189">
        <f>N68/O$56</f>
        <v>0.83333333333333337</v>
      </c>
      <c r="P68" s="93">
        <v>15</v>
      </c>
      <c r="Q68" s="189">
        <f>P68/Q$56</f>
        <v>0.83333333333333337</v>
      </c>
      <c r="R68" s="93">
        <v>13</v>
      </c>
      <c r="S68" s="189">
        <f>R68/S$56</f>
        <v>0.76470588235294112</v>
      </c>
      <c r="T68" s="93"/>
      <c r="U68" s="191" t="e">
        <f>T68/U$56</f>
        <v>#DIV/0!</v>
      </c>
      <c r="V68" s="192"/>
      <c r="W68" s="807">
        <f t="shared" si="16"/>
        <v>14.25</v>
      </c>
      <c r="X68" s="193" t="e">
        <f t="shared" si="17"/>
        <v>#DIV/0!</v>
      </c>
    </row>
    <row r="69" spans="1:24" s="1" customFormat="1" ht="15" customHeight="1" thickBot="1" x14ac:dyDescent="0.25">
      <c r="A69" s="194" t="s">
        <v>55</v>
      </c>
      <c r="B69" s="630">
        <v>5</v>
      </c>
      <c r="C69" s="627">
        <f>B69/C$56</f>
        <v>0.27777777777777779</v>
      </c>
      <c r="D69" s="630">
        <v>4</v>
      </c>
      <c r="E69" s="628">
        <f>D69/E$56</f>
        <v>0.21052631578947367</v>
      </c>
      <c r="F69" s="631">
        <v>3</v>
      </c>
      <c r="G69" s="628">
        <f>F69/G$56</f>
        <v>0.17647058823529413</v>
      </c>
      <c r="H69" s="631">
        <v>3</v>
      </c>
      <c r="I69" s="628">
        <f>H69/I$56</f>
        <v>0.17647058823529413</v>
      </c>
      <c r="J69" s="631">
        <v>3</v>
      </c>
      <c r="K69" s="628">
        <f>J69/K$56</f>
        <v>0.17647058823529413</v>
      </c>
      <c r="L69" s="631">
        <v>2</v>
      </c>
      <c r="M69" s="628">
        <f>L69/M$56</f>
        <v>0.125</v>
      </c>
      <c r="N69" s="631">
        <v>3</v>
      </c>
      <c r="O69" s="628">
        <f>N69/O$56</f>
        <v>0.16666666666666666</v>
      </c>
      <c r="P69" s="631">
        <v>3</v>
      </c>
      <c r="Q69" s="628">
        <f>P69/Q$56</f>
        <v>0.16666666666666666</v>
      </c>
      <c r="R69" s="631">
        <v>4</v>
      </c>
      <c r="S69" s="628">
        <f>R69/S$56</f>
        <v>0.23529411764705882</v>
      </c>
      <c r="T69" s="631"/>
      <c r="U69" s="629" t="e">
        <f>T69/U$56</f>
        <v>#DIV/0!</v>
      </c>
      <c r="V69" s="192"/>
      <c r="W69" s="807">
        <f t="shared" si="16"/>
        <v>3</v>
      </c>
      <c r="X69" s="193" t="e">
        <f t="shared" si="17"/>
        <v>#DIV/0!</v>
      </c>
    </row>
    <row r="70" spans="1:24" s="1" customFormat="1" ht="18" customHeight="1" x14ac:dyDescent="0.2">
      <c r="A70" s="603" t="s">
        <v>56</v>
      </c>
      <c r="B70" s="637"/>
      <c r="C70" s="638"/>
      <c r="D70" s="637"/>
      <c r="E70" s="639"/>
      <c r="F70" s="640"/>
      <c r="G70" s="639"/>
      <c r="H70" s="640"/>
      <c r="I70" s="639"/>
      <c r="J70" s="640"/>
      <c r="K70" s="639"/>
      <c r="L70" s="640"/>
      <c r="M70" s="639"/>
      <c r="N70" s="640"/>
      <c r="O70" s="639"/>
      <c r="P70" s="640"/>
      <c r="Q70" s="639"/>
      <c r="R70" s="640"/>
      <c r="S70" s="639"/>
      <c r="T70" s="640"/>
      <c r="U70" s="641"/>
      <c r="V70" s="192"/>
      <c r="W70" s="807"/>
      <c r="X70" s="193"/>
    </row>
    <row r="71" spans="1:24" s="1" customFormat="1" ht="15" customHeight="1" x14ac:dyDescent="0.2">
      <c r="A71" s="186" t="s">
        <v>57</v>
      </c>
      <c r="B71" s="203">
        <v>6</v>
      </c>
      <c r="C71" s="188">
        <f>B71/C$56</f>
        <v>0.33333333333333331</v>
      </c>
      <c r="D71" s="203">
        <v>7</v>
      </c>
      <c r="E71" s="189">
        <f>D71/E$56</f>
        <v>0.36842105263157893</v>
      </c>
      <c r="F71" s="204">
        <v>8</v>
      </c>
      <c r="G71" s="189">
        <f>F71/G$56</f>
        <v>0.47058823529411764</v>
      </c>
      <c r="H71" s="204">
        <v>10</v>
      </c>
      <c r="I71" s="189">
        <f>H71/I$56</f>
        <v>0.58823529411764708</v>
      </c>
      <c r="J71" s="204">
        <v>9</v>
      </c>
      <c r="K71" s="189">
        <f>J71/K$56</f>
        <v>0.52941176470588236</v>
      </c>
      <c r="L71" s="204">
        <v>9</v>
      </c>
      <c r="M71" s="189">
        <f>L71/M$56</f>
        <v>0.5625</v>
      </c>
      <c r="N71" s="204">
        <v>9</v>
      </c>
      <c r="O71" s="189">
        <f>N71/O$56</f>
        <v>0.5</v>
      </c>
      <c r="P71" s="204">
        <v>9</v>
      </c>
      <c r="Q71" s="189">
        <f>P71/Q$56</f>
        <v>0.5</v>
      </c>
      <c r="R71" s="204">
        <v>9</v>
      </c>
      <c r="S71" s="189">
        <f>R71/S$56</f>
        <v>0.52941176470588236</v>
      </c>
      <c r="T71" s="204"/>
      <c r="U71" s="191" t="e">
        <f>T71/U$56</f>
        <v>#DIV/0!</v>
      </c>
      <c r="V71" s="192"/>
      <c r="W71" s="807">
        <f t="shared" si="16"/>
        <v>9</v>
      </c>
      <c r="X71" s="193" t="e">
        <f t="shared" si="17"/>
        <v>#DIV/0!</v>
      </c>
    </row>
    <row r="72" spans="1:24" s="1" customFormat="1" ht="15" customHeight="1" x14ac:dyDescent="0.2">
      <c r="A72" s="186" t="s">
        <v>58</v>
      </c>
      <c r="B72" s="203">
        <v>5</v>
      </c>
      <c r="C72" s="188">
        <f>B72/C$56</f>
        <v>0.27777777777777779</v>
      </c>
      <c r="D72" s="203">
        <v>6</v>
      </c>
      <c r="E72" s="189">
        <f>D72/E$56</f>
        <v>0.31578947368421051</v>
      </c>
      <c r="F72" s="204">
        <v>5</v>
      </c>
      <c r="G72" s="189">
        <f>F72/G$56</f>
        <v>0.29411764705882354</v>
      </c>
      <c r="H72" s="204">
        <v>6</v>
      </c>
      <c r="I72" s="189">
        <f>H72/I$56</f>
        <v>0.35294117647058826</v>
      </c>
      <c r="J72" s="204">
        <v>8</v>
      </c>
      <c r="K72" s="189">
        <f>J72/K$56</f>
        <v>0.47058823529411764</v>
      </c>
      <c r="L72" s="204">
        <v>7</v>
      </c>
      <c r="M72" s="189">
        <f>L72/M$56</f>
        <v>0.4375</v>
      </c>
      <c r="N72" s="204">
        <v>6</v>
      </c>
      <c r="O72" s="189">
        <f>N72/O$56</f>
        <v>0.33333333333333331</v>
      </c>
      <c r="P72" s="204">
        <v>6</v>
      </c>
      <c r="Q72" s="189">
        <f>P72/Q$56</f>
        <v>0.33333333333333331</v>
      </c>
      <c r="R72" s="204">
        <v>5</v>
      </c>
      <c r="S72" s="189">
        <f>R72/S$56</f>
        <v>0.29411764705882354</v>
      </c>
      <c r="T72" s="204"/>
      <c r="U72" s="191" t="e">
        <f>T72/U$56</f>
        <v>#DIV/0!</v>
      </c>
      <c r="V72" s="192"/>
      <c r="W72" s="807">
        <f t="shared" si="16"/>
        <v>6</v>
      </c>
      <c r="X72" s="193" t="e">
        <f t="shared" si="17"/>
        <v>#DIV/0!</v>
      </c>
    </row>
    <row r="73" spans="1:24" s="1" customFormat="1" ht="15" customHeight="1" thickBot="1" x14ac:dyDescent="0.25">
      <c r="A73" s="194" t="s">
        <v>59</v>
      </c>
      <c r="B73" s="630">
        <v>6</v>
      </c>
      <c r="C73" s="627">
        <f>B73/C$56</f>
        <v>0.33333333333333331</v>
      </c>
      <c r="D73" s="630">
        <v>6</v>
      </c>
      <c r="E73" s="628">
        <f>D73/E$56</f>
        <v>0.31578947368421051</v>
      </c>
      <c r="F73" s="631">
        <v>4</v>
      </c>
      <c r="G73" s="628">
        <f>F73/G$56</f>
        <v>0.23529411764705882</v>
      </c>
      <c r="H73" s="631">
        <v>1</v>
      </c>
      <c r="I73" s="628">
        <f>H73/I$56</f>
        <v>5.8823529411764705E-2</v>
      </c>
      <c r="J73" s="631">
        <v>0</v>
      </c>
      <c r="K73" s="628">
        <f>J73/K$56</f>
        <v>0</v>
      </c>
      <c r="L73" s="631">
        <v>0</v>
      </c>
      <c r="M73" s="628">
        <f>L73/M$56</f>
        <v>0</v>
      </c>
      <c r="N73" s="631">
        <v>3</v>
      </c>
      <c r="O73" s="628">
        <f>N73/O$56</f>
        <v>0.16666666666666666</v>
      </c>
      <c r="P73" s="631">
        <v>3</v>
      </c>
      <c r="Q73" s="628">
        <f>P73/Q$56</f>
        <v>0.16666666666666666</v>
      </c>
      <c r="R73" s="631">
        <v>3</v>
      </c>
      <c r="S73" s="628">
        <f>R73/S$56</f>
        <v>0.17647058823529413</v>
      </c>
      <c r="T73" s="631"/>
      <c r="U73" s="629" t="e">
        <f>T73/U$56</f>
        <v>#DIV/0!</v>
      </c>
      <c r="V73" s="192"/>
      <c r="W73" s="807">
        <f t="shared" si="16"/>
        <v>2.25</v>
      </c>
      <c r="X73" s="193" t="e">
        <f t="shared" si="17"/>
        <v>#DIV/0!</v>
      </c>
    </row>
    <row r="74" spans="1:24" s="1" customFormat="1" ht="18" customHeight="1" x14ac:dyDescent="0.2">
      <c r="A74" s="603" t="s">
        <v>60</v>
      </c>
      <c r="B74" s="637"/>
      <c r="C74" s="638"/>
      <c r="D74" s="637"/>
      <c r="E74" s="639"/>
      <c r="F74" s="640"/>
      <c r="G74" s="639"/>
      <c r="H74" s="640"/>
      <c r="I74" s="639"/>
      <c r="J74" s="640"/>
      <c r="K74" s="639"/>
      <c r="L74" s="640"/>
      <c r="M74" s="639"/>
      <c r="N74" s="640"/>
      <c r="O74" s="639"/>
      <c r="P74" s="640"/>
      <c r="Q74" s="639"/>
      <c r="R74" s="640"/>
      <c r="S74" s="639"/>
      <c r="T74" s="640"/>
      <c r="U74" s="641"/>
      <c r="V74" s="192"/>
      <c r="W74" s="807"/>
      <c r="X74" s="193"/>
    </row>
    <row r="75" spans="1:24" s="1" customFormat="1" ht="15" customHeight="1" x14ac:dyDescent="0.2">
      <c r="A75" s="186" t="s">
        <v>61</v>
      </c>
      <c r="B75" s="203">
        <v>1</v>
      </c>
      <c r="C75" s="188">
        <f>B75/C$56</f>
        <v>5.5555555555555552E-2</v>
      </c>
      <c r="D75" s="203">
        <v>2</v>
      </c>
      <c r="E75" s="189">
        <f>D75/E$56</f>
        <v>0.10526315789473684</v>
      </c>
      <c r="F75" s="204">
        <v>2</v>
      </c>
      <c r="G75" s="189">
        <f>F75/G$56</f>
        <v>0.11764705882352941</v>
      </c>
      <c r="H75" s="204">
        <v>3</v>
      </c>
      <c r="I75" s="189">
        <f>H75/I$56</f>
        <v>0.17647058823529413</v>
      </c>
      <c r="J75" s="204">
        <v>3</v>
      </c>
      <c r="K75" s="189">
        <f>J75/K$56</f>
        <v>0.17647058823529413</v>
      </c>
      <c r="L75" s="204">
        <v>3</v>
      </c>
      <c r="M75" s="189">
        <f>L75/M$56</f>
        <v>0.1875</v>
      </c>
      <c r="N75" s="204">
        <v>3</v>
      </c>
      <c r="O75" s="189">
        <f>N75/O$56</f>
        <v>0.16666666666666666</v>
      </c>
      <c r="P75" s="204">
        <v>3</v>
      </c>
      <c r="Q75" s="189">
        <f>P75/Q$56</f>
        <v>0.16666666666666666</v>
      </c>
      <c r="R75" s="204">
        <v>3</v>
      </c>
      <c r="S75" s="189">
        <f>R75/S$56</f>
        <v>0.17647058823529413</v>
      </c>
      <c r="T75" s="204"/>
      <c r="U75" s="191" t="e">
        <f>T75/U$56</f>
        <v>#DIV/0!</v>
      </c>
      <c r="V75" s="192"/>
      <c r="W75" s="807">
        <f t="shared" si="16"/>
        <v>3</v>
      </c>
      <c r="X75" s="193" t="e">
        <f t="shared" si="17"/>
        <v>#DIV/0!</v>
      </c>
    </row>
    <row r="76" spans="1:24" s="1" customFormat="1" ht="15" customHeight="1" x14ac:dyDescent="0.2">
      <c r="A76" s="186" t="s">
        <v>62</v>
      </c>
      <c r="B76" s="203">
        <v>11</v>
      </c>
      <c r="C76" s="188">
        <f>B76/C$56</f>
        <v>0.61111111111111116</v>
      </c>
      <c r="D76" s="203">
        <v>11</v>
      </c>
      <c r="E76" s="189">
        <f>D76/E$56</f>
        <v>0.57894736842105265</v>
      </c>
      <c r="F76" s="204">
        <v>10</v>
      </c>
      <c r="G76" s="189">
        <f>F76/G$56</f>
        <v>0.58823529411764708</v>
      </c>
      <c r="H76" s="204">
        <v>13</v>
      </c>
      <c r="I76" s="189">
        <f>H76/I$56</f>
        <v>0.76470588235294112</v>
      </c>
      <c r="J76" s="204">
        <v>14</v>
      </c>
      <c r="K76" s="189">
        <f>J76/K$56</f>
        <v>0.82352941176470584</v>
      </c>
      <c r="L76" s="204">
        <v>13</v>
      </c>
      <c r="M76" s="189">
        <f>L76/M$56</f>
        <v>0.8125</v>
      </c>
      <c r="N76" s="204">
        <v>12</v>
      </c>
      <c r="O76" s="189">
        <f>N76/O$56</f>
        <v>0.66666666666666663</v>
      </c>
      <c r="P76" s="204">
        <v>12</v>
      </c>
      <c r="Q76" s="189">
        <f>P76/Q$56</f>
        <v>0.66666666666666663</v>
      </c>
      <c r="R76" s="204">
        <v>11</v>
      </c>
      <c r="S76" s="189">
        <f>R76/S$56</f>
        <v>0.6470588235294118</v>
      </c>
      <c r="T76" s="204"/>
      <c r="U76" s="191" t="e">
        <f>T76/U$56</f>
        <v>#DIV/0!</v>
      </c>
      <c r="V76" s="192"/>
      <c r="W76" s="807">
        <f t="shared" si="16"/>
        <v>12</v>
      </c>
      <c r="X76" s="193" t="e">
        <f t="shared" si="17"/>
        <v>#DIV/0!</v>
      </c>
    </row>
    <row r="77" spans="1:24" s="1" customFormat="1" ht="15" customHeight="1" x14ac:dyDescent="0.2">
      <c r="A77" s="186" t="s">
        <v>63</v>
      </c>
      <c r="B77" s="203">
        <v>5</v>
      </c>
      <c r="C77" s="188">
        <f>B77/C$56</f>
        <v>0.27777777777777779</v>
      </c>
      <c r="D77" s="203">
        <v>6</v>
      </c>
      <c r="E77" s="189">
        <f>D77/E$56</f>
        <v>0.31578947368421051</v>
      </c>
      <c r="F77" s="204">
        <v>5</v>
      </c>
      <c r="G77" s="189">
        <f>F77/G$56</f>
        <v>0.29411764705882354</v>
      </c>
      <c r="H77" s="204">
        <v>1</v>
      </c>
      <c r="I77" s="189">
        <f>H77/I$56</f>
        <v>5.8823529411764705E-2</v>
      </c>
      <c r="J77" s="204">
        <v>0</v>
      </c>
      <c r="K77" s="189">
        <f>J77/K$56</f>
        <v>0</v>
      </c>
      <c r="L77" s="204">
        <v>0</v>
      </c>
      <c r="M77" s="189">
        <f>L77/M$56</f>
        <v>0</v>
      </c>
      <c r="N77" s="204">
        <v>3</v>
      </c>
      <c r="O77" s="189">
        <f>N77/O$56</f>
        <v>0.16666666666666666</v>
      </c>
      <c r="P77" s="204">
        <v>3</v>
      </c>
      <c r="Q77" s="189">
        <f>P77/Q$56</f>
        <v>0.16666666666666666</v>
      </c>
      <c r="R77" s="204">
        <v>3</v>
      </c>
      <c r="S77" s="189">
        <f>R77/S$56</f>
        <v>0.17647058823529413</v>
      </c>
      <c r="T77" s="204"/>
      <c r="U77" s="191" t="e">
        <f>T77/U$56</f>
        <v>#DIV/0!</v>
      </c>
      <c r="V77" s="182"/>
      <c r="W77" s="807">
        <f t="shared" si="16"/>
        <v>2.25</v>
      </c>
      <c r="X77" s="193" t="e">
        <f t="shared" si="17"/>
        <v>#DIV/0!</v>
      </c>
    </row>
    <row r="78" spans="1:24" s="1" customFormat="1" ht="15" customHeight="1" thickBot="1" x14ac:dyDescent="0.25">
      <c r="A78" s="207" t="s">
        <v>64</v>
      </c>
      <c r="B78" s="208">
        <v>0</v>
      </c>
      <c r="C78" s="209">
        <f>B78/C$56</f>
        <v>0</v>
      </c>
      <c r="D78" s="208">
        <v>0</v>
      </c>
      <c r="E78" s="210">
        <f>D78/E$56</f>
        <v>0</v>
      </c>
      <c r="F78" s="211">
        <v>0</v>
      </c>
      <c r="G78" s="210">
        <f>F78/G$56</f>
        <v>0</v>
      </c>
      <c r="H78" s="211">
        <v>0</v>
      </c>
      <c r="I78" s="210">
        <f>H78/I$56</f>
        <v>0</v>
      </c>
      <c r="J78" s="211">
        <v>0</v>
      </c>
      <c r="K78" s="210">
        <f>J78/K$56</f>
        <v>0</v>
      </c>
      <c r="L78" s="211">
        <v>0</v>
      </c>
      <c r="M78" s="210">
        <f>L78/M$56</f>
        <v>0</v>
      </c>
      <c r="N78" s="211">
        <v>0</v>
      </c>
      <c r="O78" s="210">
        <f>N78/O$56</f>
        <v>0</v>
      </c>
      <c r="P78" s="211">
        <v>0</v>
      </c>
      <c r="Q78" s="210">
        <f>P78/Q$56</f>
        <v>0</v>
      </c>
      <c r="R78" s="211">
        <v>0</v>
      </c>
      <c r="S78" s="210">
        <f>R78/S$56</f>
        <v>0</v>
      </c>
      <c r="T78" s="211"/>
      <c r="U78" s="212" t="e">
        <f>T78/U$56</f>
        <v>#DIV/0!</v>
      </c>
      <c r="V78" s="182"/>
      <c r="W78" s="811">
        <f t="shared" si="16"/>
        <v>0</v>
      </c>
      <c r="X78" s="213" t="e">
        <f t="shared" si="17"/>
        <v>#DIV/0!</v>
      </c>
    </row>
    <row r="79" spans="1:24" ht="15" customHeight="1" thickTop="1" x14ac:dyDescent="0.2">
      <c r="A79" s="462" t="s">
        <v>160</v>
      </c>
    </row>
    <row r="80" spans="1:24" x14ac:dyDescent="0.2">
      <c r="A80" s="1"/>
      <c r="H80" s="47" t="s">
        <v>19</v>
      </c>
      <c r="J80" s="47" t="s">
        <v>19</v>
      </c>
      <c r="L80" s="47" t="s">
        <v>19</v>
      </c>
      <c r="N80" s="47" t="s">
        <v>19</v>
      </c>
      <c r="P80" s="47" t="s">
        <v>19</v>
      </c>
      <c r="R80" s="47" t="s">
        <v>19</v>
      </c>
      <c r="T80" s="47" t="s">
        <v>19</v>
      </c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</sheetData>
  <mergeCells count="77">
    <mergeCell ref="L44:M44"/>
    <mergeCell ref="N44:O44"/>
    <mergeCell ref="P44:Q44"/>
    <mergeCell ref="R44:S44"/>
    <mergeCell ref="W44:X44"/>
    <mergeCell ref="T44:U44"/>
    <mergeCell ref="B44:C44"/>
    <mergeCell ref="D44:E44"/>
    <mergeCell ref="F44:G44"/>
    <mergeCell ref="H44:I44"/>
    <mergeCell ref="J44:K44"/>
    <mergeCell ref="R39:S39"/>
    <mergeCell ref="W39:X39"/>
    <mergeCell ref="P39:Q39"/>
    <mergeCell ref="B39:C39"/>
    <mergeCell ref="D39:E39"/>
    <mergeCell ref="F39:G39"/>
    <mergeCell ref="H39:I39"/>
    <mergeCell ref="J39:K39"/>
    <mergeCell ref="L39:M39"/>
    <mergeCell ref="N39:O39"/>
    <mergeCell ref="T39:U39"/>
    <mergeCell ref="J36:K36"/>
    <mergeCell ref="L36:M36"/>
    <mergeCell ref="N36:O36"/>
    <mergeCell ref="B36:C36"/>
    <mergeCell ref="D36:E36"/>
    <mergeCell ref="F36:G36"/>
    <mergeCell ref="H36:I36"/>
    <mergeCell ref="P36:Q36"/>
    <mergeCell ref="R36:S36"/>
    <mergeCell ref="W36:X36"/>
    <mergeCell ref="R29:S29"/>
    <mergeCell ref="W29:X29"/>
    <mergeCell ref="P29:Q29"/>
    <mergeCell ref="T29:U29"/>
    <mergeCell ref="T36:U36"/>
    <mergeCell ref="B29:C29"/>
    <mergeCell ref="D29:E29"/>
    <mergeCell ref="J26:K26"/>
    <mergeCell ref="L26:M26"/>
    <mergeCell ref="N26:O26"/>
    <mergeCell ref="B26:C26"/>
    <mergeCell ref="D26:E26"/>
    <mergeCell ref="F26:G26"/>
    <mergeCell ref="H26:I26"/>
    <mergeCell ref="F29:G29"/>
    <mergeCell ref="H29:I29"/>
    <mergeCell ref="J29:K29"/>
    <mergeCell ref="L29:M29"/>
    <mergeCell ref="N29:O29"/>
    <mergeCell ref="L20:M20"/>
    <mergeCell ref="N20:O20"/>
    <mergeCell ref="P26:Q26"/>
    <mergeCell ref="R26:S26"/>
    <mergeCell ref="W26:X26"/>
    <mergeCell ref="R20:S20"/>
    <mergeCell ref="W20:X20"/>
    <mergeCell ref="P20:Q20"/>
    <mergeCell ref="T20:U20"/>
    <mergeCell ref="T26:U26"/>
    <mergeCell ref="B20:C20"/>
    <mergeCell ref="D20:E20"/>
    <mergeCell ref="F20:G20"/>
    <mergeCell ref="H20:I20"/>
    <mergeCell ref="J20:K20"/>
    <mergeCell ref="L9:M9"/>
    <mergeCell ref="N9:O9"/>
    <mergeCell ref="R9:S9"/>
    <mergeCell ref="W9:X9"/>
    <mergeCell ref="P9:Q9"/>
    <mergeCell ref="T9:U9"/>
    <mergeCell ref="B9:C9"/>
    <mergeCell ref="D9:E9"/>
    <mergeCell ref="F9:G9"/>
    <mergeCell ref="H9:I9"/>
    <mergeCell ref="J9:K9"/>
  </mergeCells>
  <printOptions horizontalCentered="1"/>
  <pageMargins left="0.7" right="0.7" top="0.5" bottom="0.5" header="0.3" footer="0.3"/>
  <pageSetup scale="70" orientation="landscape" r:id="rId1"/>
  <headerFooter alignWithMargins="0">
    <oddFooter>&amp;LPrepared by Planning and Analysis&amp;C&amp;P of &amp;N&amp;RUpdated &amp;D</oddFooter>
  </headerFooter>
  <rowBreaks count="1" manualBreakCount="1">
    <brk id="42" max="21" man="1"/>
  </rowBreaks>
  <colBreaks count="1" manualBreakCount="1">
    <brk id="21" min="7" max="7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3"/>
  <sheetViews>
    <sheetView view="pageBreakPreview" zoomScaleNormal="100" zoomScaleSheetLayoutView="100" workbookViewId="0">
      <pane xSplit="1" ySplit="1" topLeftCell="J17" activePane="bottomRight" state="frozen"/>
      <selection activeCell="W23" sqref="W23:X23"/>
      <selection pane="topRight" activeCell="W23" sqref="W23:X23"/>
      <selection pane="bottomLeft" activeCell="W23" sqref="W23:X23"/>
      <selection pane="bottomRight" activeCell="W23" sqref="W23:X23"/>
    </sheetView>
  </sheetViews>
  <sheetFormatPr defaultColWidth="10.28515625" defaultRowHeight="12.75" x14ac:dyDescent="0.2"/>
  <cols>
    <col min="1" max="1" width="35.8554687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6" ht="15.75" x14ac:dyDescent="0.25">
      <c r="A1" s="438" t="s">
        <v>148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2" spans="1:26" ht="15.75" x14ac:dyDescent="0.25">
      <c r="A2" s="438" t="s">
        <v>149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1:26" x14ac:dyDescent="0.2">
      <c r="A3" s="439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</row>
    <row r="4" spans="1:26" ht="15.75" x14ac:dyDescent="0.25">
      <c r="A4" s="440" t="s">
        <v>150</v>
      </c>
    </row>
    <row r="5" spans="1:26" x14ac:dyDescent="0.2">
      <c r="A5" s="43"/>
    </row>
    <row r="6" spans="1:26" ht="25.5" x14ac:dyDescent="0.2">
      <c r="A6" s="442" t="s">
        <v>152</v>
      </c>
    </row>
    <row r="7" spans="1:26" x14ac:dyDescent="0.2">
      <c r="A7" s="443">
        <v>3670045020</v>
      </c>
    </row>
    <row r="8" spans="1:26" ht="13.5" thickBot="1" x14ac:dyDescent="0.25">
      <c r="A8" s="1"/>
    </row>
    <row r="9" spans="1:26" ht="14.25" thickTop="1" thickBot="1" x14ac:dyDescent="0.25">
      <c r="A9" s="3"/>
      <c r="B9" s="943" t="s">
        <v>0</v>
      </c>
      <c r="C9" s="940"/>
      <c r="D9" s="943" t="s">
        <v>1</v>
      </c>
      <c r="E9" s="940"/>
      <c r="F9" s="943" t="s">
        <v>2</v>
      </c>
      <c r="G9" s="940"/>
      <c r="H9" s="943" t="s">
        <v>3</v>
      </c>
      <c r="I9" s="940"/>
      <c r="J9" s="943" t="s">
        <v>4</v>
      </c>
      <c r="K9" s="940"/>
      <c r="L9" s="943" t="s">
        <v>5</v>
      </c>
      <c r="M9" s="940"/>
      <c r="N9" s="943" t="s">
        <v>6</v>
      </c>
      <c r="O9" s="940"/>
      <c r="P9" s="943" t="s">
        <v>7</v>
      </c>
      <c r="Q9" s="940"/>
      <c r="R9" s="943" t="s">
        <v>8</v>
      </c>
      <c r="S9" s="940"/>
      <c r="T9" s="943" t="s">
        <v>186</v>
      </c>
      <c r="U9" s="944"/>
      <c r="W9" s="957" t="s">
        <v>9</v>
      </c>
      <c r="X9" s="958"/>
    </row>
    <row r="10" spans="1:26" ht="30" customHeight="1" thickBot="1" x14ac:dyDescent="0.25">
      <c r="A10" s="51" t="s">
        <v>73</v>
      </c>
      <c r="B10" s="790" t="s">
        <v>14</v>
      </c>
      <c r="C10" s="789" t="s">
        <v>15</v>
      </c>
      <c r="D10" s="671" t="s">
        <v>174</v>
      </c>
      <c r="E10" s="670" t="s">
        <v>173</v>
      </c>
      <c r="F10" s="671" t="s">
        <v>174</v>
      </c>
      <c r="G10" s="670" t="s">
        <v>173</v>
      </c>
      <c r="H10" s="671" t="s">
        <v>174</v>
      </c>
      <c r="I10" s="670" t="s">
        <v>173</v>
      </c>
      <c r="J10" s="671" t="s">
        <v>174</v>
      </c>
      <c r="K10" s="670" t="s">
        <v>173</v>
      </c>
      <c r="L10" s="671" t="s">
        <v>174</v>
      </c>
      <c r="M10" s="670" t="s">
        <v>173</v>
      </c>
      <c r="N10" s="671" t="s">
        <v>174</v>
      </c>
      <c r="O10" s="670" t="s">
        <v>173</v>
      </c>
      <c r="P10" s="671" t="s">
        <v>174</v>
      </c>
      <c r="Q10" s="670" t="s">
        <v>173</v>
      </c>
      <c r="R10" s="671" t="s">
        <v>174</v>
      </c>
      <c r="S10" s="670" t="s">
        <v>173</v>
      </c>
      <c r="T10" s="671" t="s">
        <v>174</v>
      </c>
      <c r="U10" s="672" t="s">
        <v>173</v>
      </c>
      <c r="W10" s="673" t="s">
        <v>174</v>
      </c>
      <c r="X10" s="674" t="s">
        <v>173</v>
      </c>
    </row>
    <row r="11" spans="1:26" ht="15" customHeight="1" x14ac:dyDescent="0.2">
      <c r="A11" s="104" t="s">
        <v>84</v>
      </c>
      <c r="B11" s="13"/>
      <c r="C11" s="14"/>
      <c r="D11" s="11"/>
      <c r="E11" s="12"/>
      <c r="F11" s="13"/>
      <c r="G11" s="12"/>
      <c r="H11" s="13"/>
      <c r="I11" s="12"/>
      <c r="J11" s="13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5"/>
      <c r="V11" s="776"/>
      <c r="W11" s="775"/>
      <c r="X11" s="21"/>
    </row>
    <row r="12" spans="1:26" s="20" customFormat="1" ht="15" customHeight="1" x14ac:dyDescent="0.2">
      <c r="A12" s="17" t="s">
        <v>16</v>
      </c>
      <c r="B12" s="92">
        <v>48</v>
      </c>
      <c r="C12" s="262"/>
      <c r="D12" s="101">
        <v>45</v>
      </c>
      <c r="E12" s="260"/>
      <c r="F12" s="18">
        <v>44</v>
      </c>
      <c r="G12" s="260"/>
      <c r="H12" s="18">
        <v>53</v>
      </c>
      <c r="I12" s="260"/>
      <c r="J12" s="18">
        <v>54</v>
      </c>
      <c r="K12" s="260"/>
      <c r="L12" s="18">
        <v>76</v>
      </c>
      <c r="M12" s="260"/>
      <c r="N12" s="18">
        <v>83</v>
      </c>
      <c r="O12" s="260"/>
      <c r="P12" s="18">
        <v>80</v>
      </c>
      <c r="Q12" s="88"/>
      <c r="R12" s="18">
        <v>68</v>
      </c>
      <c r="S12" s="88"/>
      <c r="T12" s="92">
        <v>61</v>
      </c>
      <c r="U12" s="90"/>
      <c r="W12" s="16">
        <f>AVERAGE(N12,L12,R12,T12,P12)</f>
        <v>73.599999999999994</v>
      </c>
      <c r="X12" s="264"/>
    </row>
    <row r="13" spans="1:26" s="20" customFormat="1" ht="15" customHeight="1" thickBot="1" x14ac:dyDescent="0.25">
      <c r="A13" s="22" t="s">
        <v>17</v>
      </c>
      <c r="B13" s="102">
        <v>48</v>
      </c>
      <c r="C13" s="263"/>
      <c r="D13" s="103">
        <v>62</v>
      </c>
      <c r="E13" s="261"/>
      <c r="F13" s="24">
        <v>61</v>
      </c>
      <c r="G13" s="261"/>
      <c r="H13" s="24">
        <v>65</v>
      </c>
      <c r="I13" s="261"/>
      <c r="J13" s="24">
        <v>57</v>
      </c>
      <c r="K13" s="261"/>
      <c r="L13" s="24">
        <v>48</v>
      </c>
      <c r="M13" s="261"/>
      <c r="N13" s="24">
        <v>59</v>
      </c>
      <c r="O13" s="261"/>
      <c r="P13" s="24">
        <v>66</v>
      </c>
      <c r="Q13" s="89"/>
      <c r="R13" s="24">
        <f>33+48</f>
        <v>81</v>
      </c>
      <c r="S13" s="89"/>
      <c r="T13" s="24">
        <v>94</v>
      </c>
      <c r="U13" s="91"/>
      <c r="W13" s="105">
        <f>AVERAGE(N13,L13,R13,T13,P13)</f>
        <v>69.599999999999994</v>
      </c>
      <c r="X13" s="275"/>
      <c r="Z13" s="900" t="s">
        <v>19</v>
      </c>
    </row>
    <row r="14" spans="1:26" s="53" customFormat="1" ht="15" customHeight="1" thickBot="1" x14ac:dyDescent="0.25">
      <c r="A14" s="75" t="s">
        <v>18</v>
      </c>
      <c r="B14" s="68">
        <f t="shared" ref="B14:R14" si="0">SUM(B12:B13)</f>
        <v>96</v>
      </c>
      <c r="C14" s="77">
        <v>10</v>
      </c>
      <c r="D14" s="68">
        <f t="shared" si="0"/>
        <v>107</v>
      </c>
      <c r="E14" s="77">
        <v>20</v>
      </c>
      <c r="F14" s="68">
        <f t="shared" si="0"/>
        <v>105</v>
      </c>
      <c r="G14" s="77">
        <v>18</v>
      </c>
      <c r="H14" s="68">
        <f t="shared" si="0"/>
        <v>118</v>
      </c>
      <c r="I14" s="77">
        <v>18</v>
      </c>
      <c r="J14" s="68">
        <f t="shared" si="0"/>
        <v>111</v>
      </c>
      <c r="K14" s="77">
        <v>19</v>
      </c>
      <c r="L14" s="68">
        <f t="shared" si="0"/>
        <v>124</v>
      </c>
      <c r="M14" s="77">
        <v>19</v>
      </c>
      <c r="N14" s="68">
        <f t="shared" si="0"/>
        <v>142</v>
      </c>
      <c r="O14" s="77">
        <v>18</v>
      </c>
      <c r="P14" s="68">
        <f t="shared" si="0"/>
        <v>146</v>
      </c>
      <c r="Q14" s="773">
        <v>17</v>
      </c>
      <c r="R14" s="774">
        <f t="shared" si="0"/>
        <v>149</v>
      </c>
      <c r="S14" s="773">
        <v>20</v>
      </c>
      <c r="T14" s="774">
        <f t="shared" ref="T14:U14" si="1">SUM(T12:T13)</f>
        <v>155</v>
      </c>
      <c r="U14" s="825">
        <f t="shared" si="1"/>
        <v>0</v>
      </c>
      <c r="W14" s="272">
        <f>AVERAGE(N14,L14,R14,T14,P14)</f>
        <v>143.19999999999999</v>
      </c>
      <c r="X14" s="273">
        <f>AVERAGE(O14,M14,S14,K14,Q14)</f>
        <v>18.600000000000001</v>
      </c>
    </row>
    <row r="15" spans="1:26" s="53" customFormat="1" ht="15" customHeight="1" x14ac:dyDescent="0.2">
      <c r="A15" s="406" t="s">
        <v>194</v>
      </c>
      <c r="B15" s="896"/>
      <c r="C15" s="897"/>
      <c r="D15" s="11">
        <v>0</v>
      </c>
      <c r="E15" s="12">
        <v>1</v>
      </c>
      <c r="F15" s="13">
        <v>2</v>
      </c>
      <c r="G15" s="12">
        <v>2</v>
      </c>
      <c r="H15" s="13">
        <v>9</v>
      </c>
      <c r="I15" s="12">
        <v>6</v>
      </c>
      <c r="J15" s="13">
        <v>11</v>
      </c>
      <c r="K15" s="12">
        <v>1</v>
      </c>
      <c r="L15" s="13">
        <v>10</v>
      </c>
      <c r="M15" s="12">
        <v>1</v>
      </c>
      <c r="N15" s="13">
        <v>12</v>
      </c>
      <c r="O15" s="12">
        <v>4</v>
      </c>
      <c r="P15" s="13">
        <v>11</v>
      </c>
      <c r="Q15" s="12">
        <v>4</v>
      </c>
      <c r="R15" s="13">
        <v>13</v>
      </c>
      <c r="S15" s="12">
        <v>7</v>
      </c>
      <c r="T15" s="13">
        <v>6</v>
      </c>
      <c r="U15" s="890"/>
      <c r="W15" s="898">
        <f>AVERAGE(N15,L15,R15,T15,P15)</f>
        <v>10.4</v>
      </c>
      <c r="X15" s="899">
        <f>AVERAGE(O15,M15,S15,K15,Q15)</f>
        <v>3.4</v>
      </c>
    </row>
    <row r="16" spans="1:26" ht="24" x14ac:dyDescent="0.2">
      <c r="A16" s="117" t="s">
        <v>85</v>
      </c>
      <c r="B16" s="13"/>
      <c r="C16" s="14"/>
      <c r="D16" s="11"/>
      <c r="E16" s="12"/>
      <c r="F16" s="13"/>
      <c r="G16" s="12"/>
      <c r="H16" s="13"/>
      <c r="I16" s="12"/>
      <c r="J16" s="13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833"/>
      <c r="V16" s="776"/>
      <c r="W16" s="777"/>
      <c r="X16" s="271"/>
    </row>
    <row r="17" spans="1:26" s="20" customFormat="1" ht="15" customHeight="1" x14ac:dyDescent="0.2">
      <c r="A17" s="17" t="s">
        <v>20</v>
      </c>
      <c r="B17" s="11">
        <v>11</v>
      </c>
      <c r="C17" s="14">
        <v>8</v>
      </c>
      <c r="D17" s="11">
        <v>8</v>
      </c>
      <c r="E17" s="12">
        <v>3</v>
      </c>
      <c r="F17" s="13">
        <v>8</v>
      </c>
      <c r="G17" s="12">
        <v>6</v>
      </c>
      <c r="H17" s="13">
        <v>6</v>
      </c>
      <c r="I17" s="12">
        <v>7</v>
      </c>
      <c r="J17" s="13">
        <v>15</v>
      </c>
      <c r="K17" s="12">
        <v>2</v>
      </c>
      <c r="L17" s="13">
        <v>9</v>
      </c>
      <c r="M17" s="12">
        <v>10</v>
      </c>
      <c r="N17" s="13">
        <v>13</v>
      </c>
      <c r="O17" s="12">
        <v>7</v>
      </c>
      <c r="P17" s="13">
        <v>16</v>
      </c>
      <c r="Q17" s="12">
        <v>5</v>
      </c>
      <c r="R17" s="13">
        <v>23</v>
      </c>
      <c r="S17" s="12">
        <v>7</v>
      </c>
      <c r="T17" s="92">
        <v>12</v>
      </c>
      <c r="U17" s="90"/>
      <c r="W17" s="16">
        <f>AVERAGE(N17,L17,R17,T17,P17)</f>
        <v>14.6</v>
      </c>
      <c r="X17" s="21">
        <f t="shared" ref="X17:X18" si="2">AVERAGE(O17,M17,S17,K17,Q17)</f>
        <v>6.2</v>
      </c>
    </row>
    <row r="18" spans="1:26" s="20" customFormat="1" ht="15" customHeight="1" thickBot="1" x14ac:dyDescent="0.25">
      <c r="A18" s="143" t="s">
        <v>92</v>
      </c>
      <c r="B18" s="172">
        <v>16</v>
      </c>
      <c r="C18" s="330">
        <v>3</v>
      </c>
      <c r="D18" s="172">
        <v>19</v>
      </c>
      <c r="E18" s="331">
        <v>3</v>
      </c>
      <c r="F18" s="175">
        <v>16</v>
      </c>
      <c r="G18" s="331">
        <v>5</v>
      </c>
      <c r="H18" s="175">
        <v>17</v>
      </c>
      <c r="I18" s="331">
        <v>1</v>
      </c>
      <c r="J18" s="175">
        <v>18</v>
      </c>
      <c r="K18" s="331">
        <v>6</v>
      </c>
      <c r="L18" s="175">
        <v>13</v>
      </c>
      <c r="M18" s="331">
        <v>4</v>
      </c>
      <c r="N18" s="175">
        <v>16</v>
      </c>
      <c r="O18" s="331">
        <v>3</v>
      </c>
      <c r="P18" s="175">
        <v>19</v>
      </c>
      <c r="Q18" s="331">
        <v>3</v>
      </c>
      <c r="R18" s="175">
        <v>14</v>
      </c>
      <c r="S18" s="331">
        <v>2</v>
      </c>
      <c r="T18" s="144">
        <v>20</v>
      </c>
      <c r="U18" s="834"/>
      <c r="W18" s="25">
        <f>AVERAGE(N18,L18,R18,T18,P18)</f>
        <v>16.399999999999999</v>
      </c>
      <c r="X18" s="26">
        <f t="shared" si="2"/>
        <v>3.6</v>
      </c>
    </row>
    <row r="19" spans="1:26" ht="18" customHeight="1" thickTop="1" thickBot="1" x14ac:dyDescent="0.25">
      <c r="A19" s="52" t="s">
        <v>68</v>
      </c>
      <c r="B19" s="979"/>
      <c r="C19" s="980"/>
      <c r="D19" s="979"/>
      <c r="E19" s="980"/>
      <c r="F19" s="979"/>
      <c r="G19" s="980"/>
      <c r="H19" s="979"/>
      <c r="I19" s="980"/>
      <c r="J19" s="979"/>
      <c r="K19" s="980"/>
      <c r="L19" s="979"/>
      <c r="M19" s="980"/>
      <c r="N19" s="979"/>
      <c r="O19" s="980"/>
      <c r="P19" s="979"/>
      <c r="Q19" s="980"/>
      <c r="R19" s="979"/>
      <c r="S19" s="980"/>
      <c r="T19" s="979"/>
      <c r="U19" s="981"/>
      <c r="W19" s="957"/>
      <c r="X19" s="958"/>
    </row>
    <row r="20" spans="1:26" ht="15" customHeight="1" x14ac:dyDescent="0.2">
      <c r="A20" s="677" t="s">
        <v>75</v>
      </c>
      <c r="B20" s="79"/>
      <c r="C20" s="82"/>
      <c r="D20" s="265"/>
      <c r="E20" s="82"/>
      <c r="F20" s="265"/>
      <c r="G20" s="82"/>
      <c r="H20" s="265"/>
      <c r="I20" s="82"/>
      <c r="J20" s="265"/>
      <c r="K20" s="82"/>
      <c r="L20" s="265"/>
      <c r="M20" s="82"/>
      <c r="N20" s="265"/>
      <c r="O20" s="82"/>
      <c r="P20" s="265"/>
      <c r="Q20" s="82"/>
      <c r="R20" s="265"/>
      <c r="S20" s="82"/>
      <c r="T20" s="265"/>
      <c r="U20" s="83"/>
      <c r="W20" s="5"/>
      <c r="X20" s="259"/>
    </row>
    <row r="21" spans="1:26" ht="15" customHeight="1" x14ac:dyDescent="0.2">
      <c r="A21" s="569" t="s">
        <v>69</v>
      </c>
      <c r="B21" s="78"/>
      <c r="C21" s="80">
        <v>0.7</v>
      </c>
      <c r="D21" s="78"/>
      <c r="E21" s="80">
        <v>0.44</v>
      </c>
      <c r="F21" s="78"/>
      <c r="G21" s="80">
        <v>0.93</v>
      </c>
      <c r="H21" s="78"/>
      <c r="I21" s="80">
        <v>0.57999999999999996</v>
      </c>
      <c r="J21" s="78"/>
      <c r="K21" s="80">
        <v>0.63</v>
      </c>
      <c r="L21" s="78"/>
      <c r="M21" s="80">
        <v>0.65</v>
      </c>
      <c r="N21" s="78"/>
      <c r="O21" s="80">
        <v>0.71</v>
      </c>
      <c r="P21" s="78"/>
      <c r="Q21" s="80">
        <v>0.82</v>
      </c>
      <c r="R21" s="78"/>
      <c r="S21" s="935"/>
      <c r="T21" s="281"/>
      <c r="U21" s="828"/>
      <c r="V21" s="277"/>
      <c r="W21" s="937"/>
      <c r="X21" s="259">
        <f t="shared" ref="X21:X22" si="3">AVERAGE(O21,M21,S21,K21,Q21)</f>
        <v>0.7024999999999999</v>
      </c>
    </row>
    <row r="22" spans="1:26" ht="15" customHeight="1" x14ac:dyDescent="0.2">
      <c r="A22" s="463" t="s">
        <v>70</v>
      </c>
      <c r="B22" s="55"/>
      <c r="C22" s="81">
        <v>0.2</v>
      </c>
      <c r="D22" s="55"/>
      <c r="E22" s="81">
        <v>0.56000000000000005</v>
      </c>
      <c r="F22" s="55"/>
      <c r="G22" s="81">
        <v>7.0000000000000007E-2</v>
      </c>
      <c r="H22" s="55"/>
      <c r="I22" s="81">
        <v>0.26</v>
      </c>
      <c r="J22" s="55"/>
      <c r="K22" s="81">
        <v>0.38</v>
      </c>
      <c r="L22" s="55"/>
      <c r="M22" s="81">
        <v>0.12</v>
      </c>
      <c r="N22" s="55"/>
      <c r="O22" s="81">
        <v>0.24</v>
      </c>
      <c r="P22" s="55"/>
      <c r="Q22" s="81">
        <v>0.18</v>
      </c>
      <c r="R22" s="55"/>
      <c r="S22" s="936"/>
      <c r="T22" s="282"/>
      <c r="U22" s="835"/>
      <c r="V22" s="277"/>
      <c r="W22" s="283"/>
      <c r="X22" s="259">
        <f t="shared" si="3"/>
        <v>0.22999999999999998</v>
      </c>
    </row>
    <row r="23" spans="1:26" ht="15" customHeight="1" thickBot="1" x14ac:dyDescent="0.25">
      <c r="A23" s="570" t="s">
        <v>72</v>
      </c>
      <c r="B23" s="56"/>
      <c r="C23" s="57"/>
      <c r="D23" s="56"/>
      <c r="E23" s="57"/>
      <c r="F23" s="56"/>
      <c r="G23" s="57"/>
      <c r="H23" s="56"/>
      <c r="I23" s="57"/>
      <c r="J23" s="56"/>
      <c r="K23" s="57"/>
      <c r="L23" s="56"/>
      <c r="M23" s="57"/>
      <c r="N23" s="56"/>
      <c r="O23" s="57"/>
      <c r="P23" s="56"/>
      <c r="Q23" s="57"/>
      <c r="R23" s="56"/>
      <c r="S23" s="57"/>
      <c r="T23" s="56"/>
      <c r="U23" s="58"/>
      <c r="W23" s="279"/>
      <c r="X23" s="280"/>
    </row>
    <row r="24" spans="1:26" ht="18" customHeight="1" thickTop="1" thickBot="1" x14ac:dyDescent="0.25">
      <c r="A24" s="230" t="s">
        <v>74</v>
      </c>
      <c r="B24" s="967"/>
      <c r="C24" s="968"/>
      <c r="D24" s="967"/>
      <c r="E24" s="968"/>
      <c r="F24" s="967"/>
      <c r="G24" s="968"/>
      <c r="H24" s="967"/>
      <c r="I24" s="968"/>
      <c r="J24" s="967"/>
      <c r="K24" s="968"/>
      <c r="L24" s="967"/>
      <c r="M24" s="968"/>
      <c r="N24" s="967"/>
      <c r="O24" s="968"/>
      <c r="P24" s="967"/>
      <c r="Q24" s="968"/>
      <c r="R24" s="967"/>
      <c r="S24" s="968"/>
      <c r="T24" s="967"/>
      <c r="U24" s="962"/>
      <c r="V24" s="231"/>
      <c r="W24" s="961"/>
      <c r="X24" s="962"/>
    </row>
    <row r="25" spans="1:26" ht="23.25" thickBot="1" x14ac:dyDescent="0.25">
      <c r="A25" s="675" t="s">
        <v>90</v>
      </c>
      <c r="B25" s="232"/>
      <c r="C25" s="233">
        <v>27.4</v>
      </c>
      <c r="D25" s="232"/>
      <c r="E25" s="233">
        <v>28</v>
      </c>
      <c r="F25" s="232"/>
      <c r="G25" s="233">
        <v>27.9</v>
      </c>
      <c r="H25" s="232"/>
      <c r="I25" s="233">
        <v>27.9</v>
      </c>
      <c r="J25" s="232"/>
      <c r="K25" s="233">
        <v>28</v>
      </c>
      <c r="L25" s="232"/>
      <c r="M25" s="233">
        <v>27.7</v>
      </c>
      <c r="N25" s="232"/>
      <c r="O25" s="233">
        <v>27.6</v>
      </c>
      <c r="P25" s="232"/>
      <c r="Q25" s="233" t="s">
        <v>119</v>
      </c>
      <c r="R25" s="232"/>
      <c r="S25" s="233">
        <v>27.2</v>
      </c>
      <c r="T25" s="232"/>
      <c r="U25" s="234">
        <v>27.1</v>
      </c>
      <c r="V25" s="231"/>
      <c r="W25" s="235"/>
      <c r="X25" s="236">
        <f>AVERAGE(O25,M25,S25,U25,Q25)</f>
        <v>27.4</v>
      </c>
    </row>
    <row r="26" spans="1:26" ht="18" customHeight="1" thickTop="1" thickBot="1" x14ac:dyDescent="0.25">
      <c r="A26" s="63" t="s">
        <v>21</v>
      </c>
      <c r="B26" s="979"/>
      <c r="C26" s="980"/>
      <c r="D26" s="979"/>
      <c r="E26" s="980"/>
      <c r="F26" s="979"/>
      <c r="G26" s="980"/>
      <c r="H26" s="979"/>
      <c r="I26" s="980"/>
      <c r="J26" s="979"/>
      <c r="K26" s="980"/>
      <c r="L26" s="979"/>
      <c r="M26" s="980"/>
      <c r="N26" s="979"/>
      <c r="O26" s="980"/>
      <c r="P26" s="979"/>
      <c r="Q26" s="980"/>
      <c r="R26" s="979"/>
      <c r="S26" s="980"/>
      <c r="T26" s="979"/>
      <c r="U26" s="981"/>
      <c r="W26" s="957"/>
      <c r="X26" s="958"/>
    </row>
    <row r="27" spans="1:26" ht="15" customHeight="1" x14ac:dyDescent="0.2">
      <c r="A27" s="463" t="s">
        <v>22</v>
      </c>
      <c r="B27" s="33"/>
      <c r="C27" s="35">
        <f>101+220</f>
        <v>321</v>
      </c>
      <c r="D27" s="32"/>
      <c r="E27" s="34">
        <v>312</v>
      </c>
      <c r="F27" s="33"/>
      <c r="G27" s="34">
        <v>335</v>
      </c>
      <c r="H27" s="33"/>
      <c r="I27" s="34">
        <f>247+100</f>
        <v>347</v>
      </c>
      <c r="J27" s="33"/>
      <c r="K27" s="34">
        <v>422</v>
      </c>
      <c r="L27" s="33"/>
      <c r="M27" s="34">
        <v>487</v>
      </c>
      <c r="N27" s="33"/>
      <c r="O27" s="34">
        <v>388</v>
      </c>
      <c r="P27" s="33"/>
      <c r="Q27" s="34">
        <v>558</v>
      </c>
      <c r="R27" s="33"/>
      <c r="S27" s="34">
        <v>438</v>
      </c>
      <c r="T27" s="33"/>
      <c r="U27" s="822"/>
      <c r="W27" s="36"/>
      <c r="X27" s="37">
        <f>AVERAGE(O27,M27,S27,K27,Q27)</f>
        <v>458.6</v>
      </c>
    </row>
    <row r="28" spans="1:26" ht="15" customHeight="1" x14ac:dyDescent="0.2">
      <c r="A28" s="463" t="s">
        <v>23</v>
      </c>
      <c r="B28" s="33"/>
      <c r="C28" s="35">
        <f>478+449</f>
        <v>927</v>
      </c>
      <c r="D28" s="32"/>
      <c r="E28" s="34">
        <v>1057</v>
      </c>
      <c r="F28" s="33"/>
      <c r="G28" s="34">
        <v>1143</v>
      </c>
      <c r="H28" s="33"/>
      <c r="I28" s="34">
        <f>607+796</f>
        <v>1403</v>
      </c>
      <c r="J28" s="33"/>
      <c r="K28" s="34">
        <v>1289</v>
      </c>
      <c r="L28" s="33"/>
      <c r="M28" s="34">
        <v>726</v>
      </c>
      <c r="N28" s="33"/>
      <c r="O28" s="34">
        <v>1292</v>
      </c>
      <c r="P28" s="33"/>
      <c r="Q28" s="34">
        <v>1210</v>
      </c>
      <c r="R28" s="33"/>
      <c r="S28" s="34">
        <v>1635</v>
      </c>
      <c r="T28" s="33"/>
      <c r="U28" s="822"/>
      <c r="W28" s="38"/>
      <c r="X28" s="37">
        <f t="shared" ref="X28:X31" si="4">AVERAGE(O28,M28,S28,K28,Q28)</f>
        <v>1230.4000000000001</v>
      </c>
    </row>
    <row r="29" spans="1:26" ht="15" customHeight="1" x14ac:dyDescent="0.2">
      <c r="A29" s="463" t="s">
        <v>24</v>
      </c>
      <c r="B29" s="33"/>
      <c r="C29" s="35">
        <v>124</v>
      </c>
      <c r="D29" s="32"/>
      <c r="E29" s="34">
        <v>128</v>
      </c>
      <c r="F29" s="33"/>
      <c r="G29" s="34">
        <v>170</v>
      </c>
      <c r="H29" s="33"/>
      <c r="I29" s="34">
        <v>117</v>
      </c>
      <c r="J29" s="33"/>
      <c r="K29" s="34">
        <v>162</v>
      </c>
      <c r="L29" s="33"/>
      <c r="M29" s="34">
        <v>176</v>
      </c>
      <c r="N29" s="33"/>
      <c r="O29" s="34">
        <v>146</v>
      </c>
      <c r="P29" s="33"/>
      <c r="Q29" s="34">
        <v>292</v>
      </c>
      <c r="R29" s="33"/>
      <c r="S29" s="34">
        <v>178</v>
      </c>
      <c r="T29" s="33"/>
      <c r="U29" s="822"/>
      <c r="W29" s="38"/>
      <c r="X29" s="37">
        <f t="shared" si="4"/>
        <v>190.8</v>
      </c>
      <c r="Z29" s="47" t="s">
        <v>19</v>
      </c>
    </row>
    <row r="30" spans="1:26" ht="15" customHeight="1" thickBot="1" x14ac:dyDescent="0.25">
      <c r="A30" s="610" t="s">
        <v>25</v>
      </c>
      <c r="B30" s="69"/>
      <c r="C30" s="35">
        <v>125</v>
      </c>
      <c r="D30" s="32"/>
      <c r="E30" s="34">
        <v>137</v>
      </c>
      <c r="F30" s="33"/>
      <c r="G30" s="34">
        <v>138</v>
      </c>
      <c r="H30" s="33"/>
      <c r="I30" s="34">
        <v>149</v>
      </c>
      <c r="J30" s="33"/>
      <c r="K30" s="34">
        <v>153</v>
      </c>
      <c r="L30" s="33"/>
      <c r="M30" s="34">
        <v>132</v>
      </c>
      <c r="N30" s="33"/>
      <c r="O30" s="34">
        <v>122</v>
      </c>
      <c r="P30" s="33"/>
      <c r="Q30" s="34">
        <v>97</v>
      </c>
      <c r="R30" s="33"/>
      <c r="S30" s="34">
        <v>110</v>
      </c>
      <c r="T30" s="69"/>
      <c r="U30" s="830"/>
      <c r="W30" s="45"/>
      <c r="X30" s="335">
        <f t="shared" si="4"/>
        <v>122.8</v>
      </c>
    </row>
    <row r="31" spans="1:26" ht="15" customHeight="1" thickBot="1" x14ac:dyDescent="0.25">
      <c r="A31" s="611" t="s">
        <v>26</v>
      </c>
      <c r="B31" s="72"/>
      <c r="C31" s="73">
        <f>SUM(C27:C30)</f>
        <v>1497</v>
      </c>
      <c r="D31" s="116"/>
      <c r="E31" s="70">
        <f>SUM(E27:E30)</f>
        <v>1634</v>
      </c>
      <c r="F31" s="72"/>
      <c r="G31" s="70">
        <f>SUM(G27:G30)</f>
        <v>1786</v>
      </c>
      <c r="H31" s="72"/>
      <c r="I31" s="70">
        <f>SUM(I27:I30)</f>
        <v>2016</v>
      </c>
      <c r="J31" s="72"/>
      <c r="K31" s="70">
        <f>SUM(K27:K30)</f>
        <v>2026</v>
      </c>
      <c r="L31" s="72"/>
      <c r="M31" s="70">
        <f>SUM(M27:M30)</f>
        <v>1521</v>
      </c>
      <c r="N31" s="72"/>
      <c r="O31" s="70">
        <f>SUM(O27:O30)</f>
        <v>1948</v>
      </c>
      <c r="P31" s="72"/>
      <c r="Q31" s="70">
        <f>SUM(Q27:Q30)</f>
        <v>2157</v>
      </c>
      <c r="R31" s="72"/>
      <c r="S31" s="70">
        <f>SUM(S27:S30)</f>
        <v>2361</v>
      </c>
      <c r="T31" s="72"/>
      <c r="U31" s="831">
        <f>SUM(U27:U30)</f>
        <v>0</v>
      </c>
      <c r="W31" s="338"/>
      <c r="X31" s="339">
        <f t="shared" si="4"/>
        <v>2002.6</v>
      </c>
    </row>
    <row r="32" spans="1:26" ht="15" customHeight="1" thickTop="1" thickBot="1" x14ac:dyDescent="0.25">
      <c r="A32" s="43"/>
      <c r="B32" s="59"/>
      <c r="C32" s="61"/>
      <c r="D32" s="59"/>
      <c r="E32" s="62"/>
      <c r="F32" s="59"/>
      <c r="G32" s="62"/>
      <c r="H32" s="59"/>
      <c r="I32" s="62"/>
      <c r="J32" s="59"/>
      <c r="K32" s="62"/>
      <c r="L32" s="59"/>
      <c r="M32" s="62"/>
      <c r="N32" s="59"/>
      <c r="O32" s="62"/>
      <c r="P32" s="59"/>
      <c r="Q32" s="62"/>
      <c r="R32" s="59"/>
      <c r="S32" s="62"/>
      <c r="T32" s="59"/>
      <c r="U32" s="62"/>
      <c r="V32" s="66"/>
      <c r="W32" s="65"/>
      <c r="X32" s="61"/>
    </row>
    <row r="33" spans="1:27" ht="18" customHeight="1" thickTop="1" thickBot="1" x14ac:dyDescent="0.25">
      <c r="A33" s="214" t="s">
        <v>27</v>
      </c>
      <c r="B33" s="955" t="s">
        <v>28</v>
      </c>
      <c r="C33" s="966"/>
      <c r="D33" s="955" t="s">
        <v>29</v>
      </c>
      <c r="E33" s="956"/>
      <c r="F33" s="955" t="s">
        <v>30</v>
      </c>
      <c r="G33" s="956"/>
      <c r="H33" s="955" t="s">
        <v>31</v>
      </c>
      <c r="I33" s="956"/>
      <c r="J33" s="955" t="s">
        <v>32</v>
      </c>
      <c r="K33" s="956"/>
      <c r="L33" s="955" t="s">
        <v>33</v>
      </c>
      <c r="M33" s="956"/>
      <c r="N33" s="955" t="s">
        <v>34</v>
      </c>
      <c r="O33" s="956"/>
      <c r="P33" s="955" t="s">
        <v>35</v>
      </c>
      <c r="Q33" s="956"/>
      <c r="R33" s="955" t="s">
        <v>36</v>
      </c>
      <c r="S33" s="956"/>
      <c r="T33" s="955" t="s">
        <v>187</v>
      </c>
      <c r="U33" s="963"/>
      <c r="V33" s="431"/>
      <c r="W33" s="961" t="s">
        <v>9</v>
      </c>
      <c r="X33" s="962"/>
      <c r="Y33" s="42"/>
      <c r="Z33" s="42"/>
      <c r="AA33" s="43"/>
    </row>
    <row r="34" spans="1:27" ht="15" customHeight="1" x14ac:dyDescent="0.2">
      <c r="A34" s="432" t="s">
        <v>143</v>
      </c>
      <c r="B34" s="215"/>
      <c r="C34" s="216">
        <v>0.60899999999999999</v>
      </c>
      <c r="D34" s="217"/>
      <c r="E34" s="218">
        <v>0.60599999999999998</v>
      </c>
      <c r="F34" s="219"/>
      <c r="G34" s="218">
        <v>0.66600000000000004</v>
      </c>
      <c r="H34" s="219"/>
      <c r="I34" s="218">
        <v>0.36599999999999999</v>
      </c>
      <c r="J34" s="219"/>
      <c r="K34" s="218">
        <v>0.67500000000000004</v>
      </c>
      <c r="L34" s="219"/>
      <c r="M34" s="218">
        <v>0.72299999999999998</v>
      </c>
      <c r="N34" s="219"/>
      <c r="O34" s="218">
        <v>0.72399999999999998</v>
      </c>
      <c r="P34" s="219"/>
      <c r="Q34" s="218">
        <v>0.64300000000000002</v>
      </c>
      <c r="R34" s="219"/>
      <c r="S34" s="218">
        <v>0.72899999999999998</v>
      </c>
      <c r="T34" s="219"/>
      <c r="U34" s="220">
        <v>0.71399999999999997</v>
      </c>
      <c r="V34" s="428"/>
      <c r="W34" s="221"/>
      <c r="X34" s="222">
        <f>AVERAGE(Q34,O34,M34,U34,S34)</f>
        <v>0.70660000000000001</v>
      </c>
      <c r="Y34" s="42"/>
      <c r="Z34" s="42"/>
      <c r="AA34" s="43"/>
    </row>
    <row r="35" spans="1:27" ht="15" customHeight="1" x14ac:dyDescent="0.2">
      <c r="A35" s="433" t="s">
        <v>144</v>
      </c>
      <c r="B35" s="223"/>
      <c r="C35" s="224">
        <v>0.129</v>
      </c>
      <c r="D35" s="223"/>
      <c r="E35" s="224">
        <v>0.13700000000000001</v>
      </c>
      <c r="F35" s="225"/>
      <c r="G35" s="224">
        <v>0.14199999999999999</v>
      </c>
      <c r="H35" s="225"/>
      <c r="I35" s="224">
        <v>0.09</v>
      </c>
      <c r="J35" s="225"/>
      <c r="K35" s="224">
        <v>0.11</v>
      </c>
      <c r="L35" s="225"/>
      <c r="M35" s="224">
        <v>7.6999999999999999E-2</v>
      </c>
      <c r="N35" s="225"/>
      <c r="O35" s="224">
        <v>9.6000000000000002E-2</v>
      </c>
      <c r="P35" s="225"/>
      <c r="Q35" s="224">
        <v>0.10100000000000001</v>
      </c>
      <c r="R35" s="225"/>
      <c r="S35" s="224">
        <v>0.09</v>
      </c>
      <c r="T35" s="225"/>
      <c r="U35" s="226">
        <v>0.111</v>
      </c>
      <c r="V35" s="428"/>
      <c r="W35" s="227"/>
      <c r="X35" s="228">
        <f>AVERAGE(Q35,O35,M35,U35,S35)</f>
        <v>9.5000000000000001E-2</v>
      </c>
      <c r="Y35" s="42"/>
      <c r="Z35" s="42"/>
      <c r="AA35" s="43"/>
    </row>
    <row r="36" spans="1:27" ht="15" customHeight="1" thickBot="1" x14ac:dyDescent="0.25">
      <c r="A36" s="229" t="s">
        <v>147</v>
      </c>
      <c r="B36" s="973">
        <f>1-C34-C35</f>
        <v>0.26200000000000001</v>
      </c>
      <c r="C36" s="970"/>
      <c r="D36" s="973">
        <f>1-E34-E35</f>
        <v>0.25700000000000001</v>
      </c>
      <c r="E36" s="970"/>
      <c r="F36" s="973">
        <f>1-G34-G35</f>
        <v>0.19199999999999998</v>
      </c>
      <c r="G36" s="970"/>
      <c r="H36" s="973">
        <f>1-I34-I35</f>
        <v>0.54400000000000004</v>
      </c>
      <c r="I36" s="970"/>
      <c r="J36" s="973">
        <f>1-K34-K35</f>
        <v>0.21499999999999997</v>
      </c>
      <c r="K36" s="970"/>
      <c r="L36" s="973">
        <f>1-M34-M35</f>
        <v>0.2</v>
      </c>
      <c r="M36" s="970"/>
      <c r="N36" s="973">
        <f>1-O34-O35</f>
        <v>0.18000000000000002</v>
      </c>
      <c r="O36" s="970"/>
      <c r="P36" s="973">
        <f>1-Q34-Q35</f>
        <v>0.25600000000000001</v>
      </c>
      <c r="Q36" s="970"/>
      <c r="R36" s="973">
        <f>1-S34-S35</f>
        <v>0.18100000000000002</v>
      </c>
      <c r="S36" s="970"/>
      <c r="T36" s="973">
        <f>1-U34-U35</f>
        <v>0.17500000000000004</v>
      </c>
      <c r="U36" s="972"/>
      <c r="V36" s="428"/>
      <c r="W36" s="971">
        <f>AVERAGE(P36,N36,L36,T36,R36)</f>
        <v>0.19840000000000005</v>
      </c>
      <c r="X36" s="972" t="e">
        <f>AVERAGE(Q36,O36,M36,U36,S36)</f>
        <v>#DIV/0!</v>
      </c>
      <c r="Y36" s="44"/>
      <c r="Z36" s="42"/>
      <c r="AA36" s="43"/>
    </row>
    <row r="37" spans="1:27" s="2" customFormat="1" ht="18" customHeight="1" thickTop="1" thickBot="1" x14ac:dyDescent="0.25">
      <c r="A37" s="181" t="s">
        <v>65</v>
      </c>
      <c r="B37" s="237" t="s">
        <v>37</v>
      </c>
      <c r="C37" s="238" t="s">
        <v>71</v>
      </c>
      <c r="D37" s="608" t="s">
        <v>37</v>
      </c>
      <c r="E37" s="609" t="s">
        <v>71</v>
      </c>
      <c r="F37" s="608" t="s">
        <v>37</v>
      </c>
      <c r="G37" s="609" t="s">
        <v>71</v>
      </c>
      <c r="H37" s="608" t="s">
        <v>37</v>
      </c>
      <c r="I37" s="609" t="s">
        <v>71</v>
      </c>
      <c r="J37" s="608" t="s">
        <v>37</v>
      </c>
      <c r="K37" s="609" t="s">
        <v>71</v>
      </c>
      <c r="L37" s="608" t="s">
        <v>37</v>
      </c>
      <c r="M37" s="609" t="s">
        <v>71</v>
      </c>
      <c r="N37" s="608" t="s">
        <v>37</v>
      </c>
      <c r="O37" s="609" t="s">
        <v>71</v>
      </c>
      <c r="P37" s="608" t="s">
        <v>37</v>
      </c>
      <c r="Q37" s="609" t="s">
        <v>71</v>
      </c>
      <c r="R37" s="608" t="s">
        <v>37</v>
      </c>
      <c r="S37" s="609" t="s">
        <v>71</v>
      </c>
      <c r="T37" s="608" t="s">
        <v>37</v>
      </c>
      <c r="U37" s="607" t="s">
        <v>71</v>
      </c>
      <c r="V37" s="240"/>
      <c r="W37" s="606" t="s">
        <v>37</v>
      </c>
      <c r="X37" s="607" t="s">
        <v>71</v>
      </c>
    </row>
    <row r="38" spans="1:27" ht="15" customHeight="1" x14ac:dyDescent="0.2">
      <c r="A38" s="499" t="s">
        <v>66</v>
      </c>
      <c r="B38" s="244"/>
      <c r="C38" s="245">
        <f>B38/B17</f>
        <v>0</v>
      </c>
      <c r="D38" s="244"/>
      <c r="E38" s="245">
        <f>D38/D17</f>
        <v>0</v>
      </c>
      <c r="F38" s="791"/>
      <c r="G38" s="871"/>
      <c r="H38" s="244">
        <v>3</v>
      </c>
      <c r="I38" s="245">
        <f>H38/H17</f>
        <v>0.5</v>
      </c>
      <c r="J38" s="244">
        <v>4</v>
      </c>
      <c r="K38" s="245">
        <f>J38/J17</f>
        <v>0.26666666666666666</v>
      </c>
      <c r="L38" s="244">
        <v>5</v>
      </c>
      <c r="M38" s="245">
        <f>L38/L17</f>
        <v>0.55555555555555558</v>
      </c>
      <c r="N38" s="244">
        <v>5</v>
      </c>
      <c r="O38" s="245">
        <f>N38/N17</f>
        <v>0.38461538461538464</v>
      </c>
      <c r="P38" s="244">
        <v>8</v>
      </c>
      <c r="Q38" s="245">
        <f>P38/P17</f>
        <v>0.5</v>
      </c>
      <c r="R38" s="244">
        <v>13</v>
      </c>
      <c r="S38" s="245">
        <f>R38/R17</f>
        <v>0.56521739130434778</v>
      </c>
      <c r="T38" s="791"/>
      <c r="U38" s="933">
        <f>T38/T17</f>
        <v>0</v>
      </c>
      <c r="V38" s="231"/>
      <c r="W38" s="16">
        <f>AVERAGE(N38,L38,R38,T38,P38)</f>
        <v>7.75</v>
      </c>
      <c r="X38" s="605">
        <f>AVERAGE(O38,M38,S38,U38,Q38)</f>
        <v>0.40107766629505759</v>
      </c>
    </row>
    <row r="39" spans="1:27" ht="15" customHeight="1" thickBot="1" x14ac:dyDescent="0.25">
      <c r="A39" s="502" t="s">
        <v>67</v>
      </c>
      <c r="B39" s="249"/>
      <c r="C39" s="250">
        <f>B39/B18</f>
        <v>0</v>
      </c>
      <c r="D39" s="249"/>
      <c r="E39" s="250">
        <f>D39/D18</f>
        <v>0</v>
      </c>
      <c r="F39" s="792"/>
      <c r="G39" s="872"/>
      <c r="H39" s="249">
        <v>12</v>
      </c>
      <c r="I39" s="250">
        <f>H39/H18</f>
        <v>0.70588235294117652</v>
      </c>
      <c r="J39" s="249">
        <v>15</v>
      </c>
      <c r="K39" s="250">
        <f>J39/J18</f>
        <v>0.83333333333333337</v>
      </c>
      <c r="L39" s="249">
        <v>12</v>
      </c>
      <c r="M39" s="250">
        <f>L39/L18</f>
        <v>0.92307692307692313</v>
      </c>
      <c r="N39" s="249">
        <v>11</v>
      </c>
      <c r="O39" s="250">
        <f>N39/N18</f>
        <v>0.6875</v>
      </c>
      <c r="P39" s="249">
        <v>12</v>
      </c>
      <c r="Q39" s="250">
        <f>P39/P18</f>
        <v>0.63157894736842102</v>
      </c>
      <c r="R39" s="249">
        <v>11</v>
      </c>
      <c r="S39" s="250">
        <f>R39/R18</f>
        <v>0.7857142857142857</v>
      </c>
      <c r="T39" s="792"/>
      <c r="U39" s="934">
        <f>T39/T18</f>
        <v>0</v>
      </c>
      <c r="V39" s="231"/>
      <c r="W39" s="359">
        <f>AVERAGE(N39,L39,R39,T39,P39)</f>
        <v>11.5</v>
      </c>
      <c r="X39" s="253">
        <f>AVERAGE(O39,M39,S39,U39,Q39)</f>
        <v>0.60557403123192599</v>
      </c>
    </row>
    <row r="40" spans="1:27" ht="15" customHeight="1" thickTop="1" x14ac:dyDescent="0.2">
      <c r="A40" s="27" t="s">
        <v>175</v>
      </c>
      <c r="B40" s="28"/>
      <c r="C40" s="29"/>
      <c r="D40" s="28"/>
      <c r="E40" s="29"/>
      <c r="F40" s="28"/>
      <c r="G40" s="29"/>
      <c r="H40" s="28"/>
      <c r="I40" s="29"/>
      <c r="J40" s="28"/>
      <c r="K40" s="29"/>
      <c r="L40" s="28"/>
      <c r="M40" s="29"/>
      <c r="N40" s="28"/>
      <c r="O40" s="29"/>
      <c r="P40" s="28"/>
      <c r="Q40" s="29"/>
      <c r="R40" s="28"/>
      <c r="S40" s="29"/>
      <c r="T40" s="28"/>
      <c r="U40" s="29"/>
      <c r="V40" s="66"/>
      <c r="W40" s="30"/>
      <c r="X40" s="31"/>
    </row>
    <row r="41" spans="1:27" s="1" customFormat="1" ht="15" customHeight="1" thickBot="1" x14ac:dyDescent="0.25">
      <c r="A41" s="310"/>
      <c r="B41" s="311"/>
      <c r="C41" s="429"/>
      <c r="D41" s="311"/>
      <c r="E41" s="429"/>
      <c r="F41" s="311"/>
      <c r="G41" s="429"/>
      <c r="H41" s="311"/>
      <c r="I41" s="429"/>
      <c r="J41" s="311"/>
      <c r="K41" s="429"/>
      <c r="L41" s="311"/>
      <c r="M41" s="429"/>
      <c r="N41" s="311"/>
      <c r="O41" s="429"/>
      <c r="P41" s="311"/>
      <c r="Q41" s="429"/>
      <c r="R41" s="311"/>
      <c r="S41" s="429"/>
      <c r="T41" s="311"/>
      <c r="U41" s="429"/>
      <c r="V41" s="182"/>
      <c r="W41" s="182"/>
      <c r="X41" s="430"/>
    </row>
    <row r="42" spans="1:27" s="1" customFormat="1" ht="18.75" customHeight="1" thickTop="1" thickBot="1" x14ac:dyDescent="0.25">
      <c r="A42" s="214" t="s">
        <v>161</v>
      </c>
      <c r="B42" s="955" t="s">
        <v>28</v>
      </c>
      <c r="C42" s="966"/>
      <c r="D42" s="955" t="s">
        <v>29</v>
      </c>
      <c r="E42" s="956"/>
      <c r="F42" s="955" t="s">
        <v>30</v>
      </c>
      <c r="G42" s="956"/>
      <c r="H42" s="955" t="s">
        <v>31</v>
      </c>
      <c r="I42" s="956"/>
      <c r="J42" s="955" t="s">
        <v>32</v>
      </c>
      <c r="K42" s="956"/>
      <c r="L42" s="955" t="s">
        <v>33</v>
      </c>
      <c r="M42" s="956"/>
      <c r="N42" s="955" t="s">
        <v>34</v>
      </c>
      <c r="O42" s="956"/>
      <c r="P42" s="955" t="s">
        <v>35</v>
      </c>
      <c r="Q42" s="956"/>
      <c r="R42" s="955" t="s">
        <v>36</v>
      </c>
      <c r="S42" s="956"/>
      <c r="T42" s="955" t="s">
        <v>187</v>
      </c>
      <c r="U42" s="963"/>
      <c r="V42" s="182"/>
      <c r="W42" s="961" t="s">
        <v>9</v>
      </c>
      <c r="X42" s="962"/>
    </row>
    <row r="43" spans="1:27" s="1" customFormat="1" ht="24" x14ac:dyDescent="0.2">
      <c r="A43" s="576" t="s">
        <v>167</v>
      </c>
      <c r="B43" s="577"/>
      <c r="C43" s="578"/>
      <c r="D43" s="577"/>
      <c r="E43" s="579"/>
      <c r="F43" s="577"/>
      <c r="G43" s="579"/>
      <c r="H43" s="577"/>
      <c r="I43" s="579"/>
      <c r="J43" s="577"/>
      <c r="K43" s="579"/>
      <c r="L43" s="577"/>
      <c r="M43" s="579"/>
      <c r="N43" s="577"/>
      <c r="O43" s="579"/>
      <c r="P43" s="577"/>
      <c r="Q43" s="579"/>
      <c r="R43" s="577"/>
      <c r="S43" s="579"/>
      <c r="T43" s="901"/>
      <c r="U43" s="902"/>
      <c r="V43" s="509"/>
      <c r="W43" s="812"/>
      <c r="X43" s="813"/>
    </row>
    <row r="44" spans="1:27" s="1" customFormat="1" ht="24" x14ac:dyDescent="0.2">
      <c r="A44" s="534" t="s">
        <v>140</v>
      </c>
      <c r="B44" s="225"/>
      <c r="C44" s="421">
        <v>5</v>
      </c>
      <c r="D44" s="225"/>
      <c r="E44" s="421">
        <v>5</v>
      </c>
      <c r="F44" s="225"/>
      <c r="G44" s="421">
        <v>6</v>
      </c>
      <c r="H44" s="225"/>
      <c r="I44" s="421">
        <v>4</v>
      </c>
      <c r="J44" s="225"/>
      <c r="K44" s="421">
        <v>5</v>
      </c>
      <c r="L44" s="225"/>
      <c r="M44" s="421">
        <v>5</v>
      </c>
      <c r="N44" s="225"/>
      <c r="O44" s="421">
        <v>6</v>
      </c>
      <c r="P44" s="225"/>
      <c r="Q44" s="421">
        <v>7</v>
      </c>
      <c r="R44" s="225"/>
      <c r="S44" s="421">
        <v>6</v>
      </c>
      <c r="T44" s="903"/>
      <c r="U44" s="823"/>
      <c r="V44" s="182"/>
      <c r="W44" s="573"/>
      <c r="X44" s="297">
        <f>AVERAGE(O44,M44,S44,U44,Q44)</f>
        <v>6</v>
      </c>
    </row>
    <row r="45" spans="1:27" s="1" customFormat="1" ht="24" x14ac:dyDescent="0.2">
      <c r="A45" s="534" t="s">
        <v>142</v>
      </c>
      <c r="B45" s="422"/>
      <c r="C45" s="515">
        <v>5</v>
      </c>
      <c r="D45" s="422"/>
      <c r="E45" s="515">
        <v>5</v>
      </c>
      <c r="F45" s="422"/>
      <c r="G45" s="515">
        <v>6</v>
      </c>
      <c r="H45" s="422"/>
      <c r="I45" s="515">
        <v>4</v>
      </c>
      <c r="J45" s="422"/>
      <c r="K45" s="515">
        <v>5</v>
      </c>
      <c r="L45" s="422"/>
      <c r="M45" s="515">
        <v>5</v>
      </c>
      <c r="N45" s="422"/>
      <c r="O45" s="515">
        <v>6</v>
      </c>
      <c r="P45" s="422"/>
      <c r="Q45" s="515">
        <v>7</v>
      </c>
      <c r="R45" s="422"/>
      <c r="S45" s="515">
        <v>6</v>
      </c>
      <c r="T45" s="903"/>
      <c r="U45" s="823"/>
      <c r="V45" s="182"/>
      <c r="W45" s="574"/>
      <c r="X45" s="575">
        <f>AVERAGE(O45,M45,S45,U45,Q45)</f>
        <v>6</v>
      </c>
    </row>
    <row r="46" spans="1:27" s="1" customFormat="1" ht="15" customHeight="1" thickBot="1" x14ac:dyDescent="0.25">
      <c r="A46" s="581" t="s">
        <v>141</v>
      </c>
      <c r="B46" s="582"/>
      <c r="C46" s="583">
        <v>4.7</v>
      </c>
      <c r="D46" s="582"/>
      <c r="E46" s="583">
        <f>3.27+1.54</f>
        <v>4.8100000000000005</v>
      </c>
      <c r="F46" s="582"/>
      <c r="G46" s="583">
        <v>4</v>
      </c>
      <c r="H46" s="582"/>
      <c r="I46" s="583">
        <v>4.92</v>
      </c>
      <c r="J46" s="582"/>
      <c r="K46" s="583">
        <f>2.71+1.34</f>
        <v>4.05</v>
      </c>
      <c r="L46" s="582"/>
      <c r="M46" s="583">
        <v>4.58</v>
      </c>
      <c r="N46" s="582"/>
      <c r="O46" s="583">
        <v>5.09</v>
      </c>
      <c r="P46" s="582"/>
      <c r="Q46" s="583">
        <v>5.8</v>
      </c>
      <c r="R46" s="582"/>
      <c r="S46" s="583">
        <f>3.54+1.14</f>
        <v>4.68</v>
      </c>
      <c r="T46" s="904"/>
      <c r="U46" s="905"/>
      <c r="V46" s="182"/>
      <c r="W46" s="814"/>
      <c r="X46" s="815">
        <f>AVERAGE(O46,M46,S46,U46,Q46)</f>
        <v>5.0374999999999996</v>
      </c>
    </row>
    <row r="47" spans="1:27" s="1" customFormat="1" ht="18" customHeight="1" thickBot="1" x14ac:dyDescent="0.25">
      <c r="A47" s="488" t="s">
        <v>159</v>
      </c>
      <c r="B47" s="484" t="s">
        <v>38</v>
      </c>
      <c r="C47" s="650" t="s">
        <v>39</v>
      </c>
      <c r="D47" s="589" t="s">
        <v>38</v>
      </c>
      <c r="E47" s="486" t="s">
        <v>39</v>
      </c>
      <c r="F47" s="589" t="s">
        <v>38</v>
      </c>
      <c r="G47" s="486" t="s">
        <v>39</v>
      </c>
      <c r="H47" s="589" t="s">
        <v>38</v>
      </c>
      <c r="I47" s="486" t="s">
        <v>39</v>
      </c>
      <c r="J47" s="589" t="s">
        <v>38</v>
      </c>
      <c r="K47" s="486" t="s">
        <v>39</v>
      </c>
      <c r="L47" s="589" t="s">
        <v>38</v>
      </c>
      <c r="M47" s="486" t="s">
        <v>39</v>
      </c>
      <c r="N47" s="589" t="s">
        <v>38</v>
      </c>
      <c r="O47" s="486" t="s">
        <v>39</v>
      </c>
      <c r="P47" s="589" t="s">
        <v>38</v>
      </c>
      <c r="Q47" s="486" t="s">
        <v>39</v>
      </c>
      <c r="R47" s="589" t="s">
        <v>38</v>
      </c>
      <c r="S47" s="486" t="s">
        <v>39</v>
      </c>
      <c r="T47" s="906" t="s">
        <v>38</v>
      </c>
      <c r="U47" s="907" t="s">
        <v>39</v>
      </c>
      <c r="V47" s="567"/>
      <c r="W47" s="590" t="s">
        <v>38</v>
      </c>
      <c r="X47" s="483" t="s">
        <v>188</v>
      </c>
    </row>
    <row r="48" spans="1:27" s="1" customFormat="1" ht="15" customHeight="1" x14ac:dyDescent="0.2">
      <c r="A48" s="489" t="s">
        <v>40</v>
      </c>
      <c r="B48" s="141"/>
      <c r="C48" s="168"/>
      <c r="D48" s="141"/>
      <c r="E48" s="585"/>
      <c r="F48" s="142"/>
      <c r="G48" s="585"/>
      <c r="H48" s="142"/>
      <c r="I48" s="585"/>
      <c r="J48" s="142"/>
      <c r="K48" s="585"/>
      <c r="L48" s="142"/>
      <c r="M48" s="585"/>
      <c r="N48" s="142"/>
      <c r="O48" s="585"/>
      <c r="P48" s="142"/>
      <c r="Q48" s="585"/>
      <c r="R48" s="142"/>
      <c r="S48" s="585"/>
      <c r="T48" s="908"/>
      <c r="U48" s="909"/>
      <c r="W48" s="566"/>
      <c r="X48" s="806"/>
    </row>
    <row r="49" spans="1:24" s="1" customFormat="1" ht="15" customHeight="1" x14ac:dyDescent="0.2">
      <c r="A49" s="464" t="s">
        <v>41</v>
      </c>
      <c r="B49" s="128"/>
      <c r="C49" s="35">
        <v>5</v>
      </c>
      <c r="D49" s="128"/>
      <c r="E49" s="147">
        <v>6</v>
      </c>
      <c r="F49" s="128"/>
      <c r="G49" s="147">
        <v>7</v>
      </c>
      <c r="H49" s="572">
        <v>5</v>
      </c>
      <c r="I49" s="147">
        <v>5</v>
      </c>
      <c r="J49" s="572">
        <v>6</v>
      </c>
      <c r="K49" s="147">
        <v>6</v>
      </c>
      <c r="L49" s="572">
        <v>6</v>
      </c>
      <c r="M49" s="147">
        <v>6</v>
      </c>
      <c r="N49" s="572">
        <v>8</v>
      </c>
      <c r="O49" s="147">
        <v>8</v>
      </c>
      <c r="P49" s="572">
        <v>10</v>
      </c>
      <c r="Q49" s="147">
        <v>10</v>
      </c>
      <c r="R49" s="572">
        <v>8</v>
      </c>
      <c r="S49" s="147">
        <v>8</v>
      </c>
      <c r="T49" s="910"/>
      <c r="U49" s="911"/>
      <c r="W49" s="807">
        <f>AVERAGE(N49,L49,R49,T49,P49)</f>
        <v>8</v>
      </c>
      <c r="X49" s="808">
        <f>AVERAGE(O49,M49,S49,U49,Q49)</f>
        <v>8</v>
      </c>
    </row>
    <row r="50" spans="1:24" s="1" customFormat="1" ht="15" customHeight="1" x14ac:dyDescent="0.2">
      <c r="A50" s="464" t="s">
        <v>42</v>
      </c>
      <c r="B50" s="128"/>
      <c r="C50" s="35">
        <v>0</v>
      </c>
      <c r="D50" s="128"/>
      <c r="E50" s="147">
        <v>1</v>
      </c>
      <c r="F50" s="128"/>
      <c r="G50" s="147">
        <v>1</v>
      </c>
      <c r="H50" s="572">
        <v>0</v>
      </c>
      <c r="I50" s="147">
        <v>0</v>
      </c>
      <c r="J50" s="572">
        <v>0</v>
      </c>
      <c r="K50" s="147">
        <v>0</v>
      </c>
      <c r="L50" s="572">
        <v>0</v>
      </c>
      <c r="M50" s="147">
        <v>0</v>
      </c>
      <c r="N50" s="572">
        <v>0</v>
      </c>
      <c r="O50" s="147">
        <v>0</v>
      </c>
      <c r="P50" s="572">
        <v>0</v>
      </c>
      <c r="Q50" s="147">
        <v>0</v>
      </c>
      <c r="R50" s="572">
        <v>0</v>
      </c>
      <c r="S50" s="147">
        <v>0</v>
      </c>
      <c r="T50" s="910"/>
      <c r="U50" s="911"/>
      <c r="W50" s="807">
        <f t="shared" ref="W50:X53" si="5">AVERAGE(N50,L50,R50,T50,P50)</f>
        <v>0</v>
      </c>
      <c r="X50" s="808">
        <f t="shared" si="5"/>
        <v>0</v>
      </c>
    </row>
    <row r="51" spans="1:24" s="1" customFormat="1" ht="15" customHeight="1" x14ac:dyDescent="0.2">
      <c r="A51" s="466" t="s">
        <v>43</v>
      </c>
      <c r="B51" s="11"/>
      <c r="C51" s="40"/>
      <c r="D51" s="11"/>
      <c r="E51" s="455"/>
      <c r="F51" s="13"/>
      <c r="G51" s="455"/>
      <c r="H51" s="572"/>
      <c r="I51" s="455"/>
      <c r="J51" s="572"/>
      <c r="K51" s="455"/>
      <c r="L51" s="572"/>
      <c r="M51" s="455"/>
      <c r="N51" s="572"/>
      <c r="O51" s="455"/>
      <c r="P51" s="572"/>
      <c r="Q51" s="455"/>
      <c r="R51" s="572"/>
      <c r="S51" s="455"/>
      <c r="T51" s="910"/>
      <c r="U51" s="912"/>
      <c r="W51" s="807"/>
      <c r="X51" s="808"/>
    </row>
    <row r="52" spans="1:24" s="1" customFormat="1" ht="15" customHeight="1" x14ac:dyDescent="0.2">
      <c r="A52" s="464" t="s">
        <v>41</v>
      </c>
      <c r="B52" s="128"/>
      <c r="C52" s="40">
        <v>10</v>
      </c>
      <c r="D52" s="128"/>
      <c r="E52" s="455">
        <v>9</v>
      </c>
      <c r="F52" s="128"/>
      <c r="G52" s="455">
        <v>7</v>
      </c>
      <c r="H52" s="572">
        <v>9</v>
      </c>
      <c r="I52" s="455">
        <v>9</v>
      </c>
      <c r="J52" s="572">
        <v>8</v>
      </c>
      <c r="K52" s="455">
        <v>8</v>
      </c>
      <c r="L52" s="572">
        <v>8</v>
      </c>
      <c r="M52" s="455">
        <v>8</v>
      </c>
      <c r="N52" s="572">
        <v>7</v>
      </c>
      <c r="O52" s="455">
        <v>7</v>
      </c>
      <c r="P52" s="572">
        <v>8</v>
      </c>
      <c r="Q52" s="455">
        <v>8</v>
      </c>
      <c r="R52" s="572">
        <v>8</v>
      </c>
      <c r="S52" s="455">
        <v>8</v>
      </c>
      <c r="T52" s="910"/>
      <c r="U52" s="912"/>
      <c r="W52" s="807">
        <f t="shared" si="5"/>
        <v>7.75</v>
      </c>
      <c r="X52" s="808">
        <f t="shared" si="5"/>
        <v>7.75</v>
      </c>
    </row>
    <row r="53" spans="1:24" s="1" customFormat="1" ht="15" customHeight="1" thickBot="1" x14ac:dyDescent="0.25">
      <c r="A53" s="465" t="s">
        <v>42</v>
      </c>
      <c r="B53" s="469"/>
      <c r="C53" s="468">
        <v>1</v>
      </c>
      <c r="D53" s="469"/>
      <c r="E53" s="470">
        <v>0</v>
      </c>
      <c r="F53" s="469"/>
      <c r="G53" s="470">
        <v>0</v>
      </c>
      <c r="H53" s="591">
        <v>0</v>
      </c>
      <c r="I53" s="470">
        <v>0</v>
      </c>
      <c r="J53" s="591">
        <v>0</v>
      </c>
      <c r="K53" s="470">
        <v>0</v>
      </c>
      <c r="L53" s="591">
        <v>0</v>
      </c>
      <c r="M53" s="470">
        <v>0</v>
      </c>
      <c r="N53" s="591">
        <v>0</v>
      </c>
      <c r="O53" s="470">
        <v>0</v>
      </c>
      <c r="P53" s="591">
        <v>0</v>
      </c>
      <c r="Q53" s="470">
        <v>0</v>
      </c>
      <c r="R53" s="591">
        <v>0</v>
      </c>
      <c r="S53" s="470">
        <v>0</v>
      </c>
      <c r="T53" s="913"/>
      <c r="U53" s="914"/>
      <c r="W53" s="807">
        <f t="shared" si="5"/>
        <v>0</v>
      </c>
      <c r="X53" s="808">
        <f t="shared" si="5"/>
        <v>0</v>
      </c>
    </row>
    <row r="54" spans="1:24" s="1" customFormat="1" ht="15" customHeight="1" thickBot="1" x14ac:dyDescent="0.25">
      <c r="A54" s="473" t="s">
        <v>26</v>
      </c>
      <c r="B54" s="475"/>
      <c r="C54" s="596">
        <f>SUM(C49:C53)</f>
        <v>16</v>
      </c>
      <c r="D54" s="475"/>
      <c r="E54" s="478">
        <f>SUM(E49:E53)</f>
        <v>16</v>
      </c>
      <c r="F54" s="597"/>
      <c r="G54" s="478">
        <f>SUM(G49:G53)</f>
        <v>15</v>
      </c>
      <c r="H54" s="598">
        <f t="shared" ref="H54:S54" si="6">SUM(H49:H53)</f>
        <v>14</v>
      </c>
      <c r="I54" s="478">
        <f t="shared" si="6"/>
        <v>14</v>
      </c>
      <c r="J54" s="598">
        <f t="shared" si="6"/>
        <v>14</v>
      </c>
      <c r="K54" s="478">
        <f t="shared" si="6"/>
        <v>14</v>
      </c>
      <c r="L54" s="598">
        <f t="shared" si="6"/>
        <v>14</v>
      </c>
      <c r="M54" s="478">
        <f t="shared" si="6"/>
        <v>14</v>
      </c>
      <c r="N54" s="598">
        <f t="shared" si="6"/>
        <v>15</v>
      </c>
      <c r="O54" s="478">
        <f t="shared" si="6"/>
        <v>15</v>
      </c>
      <c r="P54" s="598">
        <f t="shared" si="6"/>
        <v>18</v>
      </c>
      <c r="Q54" s="478">
        <f t="shared" si="6"/>
        <v>18</v>
      </c>
      <c r="R54" s="598">
        <f t="shared" si="6"/>
        <v>16</v>
      </c>
      <c r="S54" s="478">
        <f t="shared" si="6"/>
        <v>16</v>
      </c>
      <c r="T54" s="915">
        <f t="shared" ref="T54:U54" si="7">SUM(T49:T53)</f>
        <v>0</v>
      </c>
      <c r="U54" s="916">
        <f t="shared" si="7"/>
        <v>0</v>
      </c>
      <c r="W54" s="809">
        <f>AVERAGE(N54,L54,R54,T54,P54)</f>
        <v>12.6</v>
      </c>
      <c r="X54" s="810">
        <f>AVERAGE(O54,M54,S54,U54,Q54)</f>
        <v>12.6</v>
      </c>
    </row>
    <row r="55" spans="1:24" s="1" customFormat="1" ht="18" customHeight="1" thickBot="1" x14ac:dyDescent="0.25">
      <c r="A55" s="532" t="s">
        <v>171</v>
      </c>
      <c r="B55" s="539" t="s">
        <v>37</v>
      </c>
      <c r="C55" s="540" t="s">
        <v>44</v>
      </c>
      <c r="D55" s="539" t="s">
        <v>37</v>
      </c>
      <c r="E55" s="541" t="s">
        <v>44</v>
      </c>
      <c r="F55" s="542" t="s">
        <v>37</v>
      </c>
      <c r="G55" s="541" t="s">
        <v>44</v>
      </c>
      <c r="H55" s="542" t="s">
        <v>37</v>
      </c>
      <c r="I55" s="541" t="s">
        <v>44</v>
      </c>
      <c r="J55" s="542" t="s">
        <v>37</v>
      </c>
      <c r="K55" s="541" t="s">
        <v>44</v>
      </c>
      <c r="L55" s="542" t="s">
        <v>37</v>
      </c>
      <c r="M55" s="541" t="s">
        <v>44</v>
      </c>
      <c r="N55" s="542" t="s">
        <v>37</v>
      </c>
      <c r="O55" s="541" t="s">
        <v>44</v>
      </c>
      <c r="P55" s="542" t="s">
        <v>37</v>
      </c>
      <c r="Q55" s="541" t="s">
        <v>44</v>
      </c>
      <c r="R55" s="542" t="s">
        <v>37</v>
      </c>
      <c r="S55" s="541" t="s">
        <v>44</v>
      </c>
      <c r="T55" s="906" t="s">
        <v>37</v>
      </c>
      <c r="U55" s="907" t="s">
        <v>44</v>
      </c>
      <c r="V55" s="182"/>
      <c r="W55" s="482" t="s">
        <v>37</v>
      </c>
      <c r="X55" s="543" t="s">
        <v>44</v>
      </c>
    </row>
    <row r="56" spans="1:24" s="1" customFormat="1" ht="18" customHeight="1" x14ac:dyDescent="0.2">
      <c r="A56" s="603" t="s">
        <v>170</v>
      </c>
      <c r="B56" s="255"/>
      <c r="C56" s="599"/>
      <c r="D56" s="255"/>
      <c r="E56" s="600"/>
      <c r="F56" s="601"/>
      <c r="G56" s="600"/>
      <c r="H56" s="601"/>
      <c r="I56" s="600"/>
      <c r="J56" s="601"/>
      <c r="K56" s="600"/>
      <c r="L56" s="601"/>
      <c r="M56" s="600"/>
      <c r="N56" s="601"/>
      <c r="O56" s="600"/>
      <c r="P56" s="601"/>
      <c r="Q56" s="600"/>
      <c r="R56" s="601"/>
      <c r="S56" s="600"/>
      <c r="T56" s="917"/>
      <c r="U56" s="918"/>
      <c r="V56" s="182"/>
      <c r="W56" s="480"/>
      <c r="X56" s="602"/>
    </row>
    <row r="57" spans="1:24" s="1" customFormat="1" ht="15" customHeight="1" x14ac:dyDescent="0.2">
      <c r="A57" s="415" t="s">
        <v>45</v>
      </c>
      <c r="B57" s="323">
        <v>10</v>
      </c>
      <c r="C57" s="592">
        <f t="shared" ref="C57:C64" si="8">B57/C$54</f>
        <v>0.625</v>
      </c>
      <c r="D57" s="323">
        <v>11</v>
      </c>
      <c r="E57" s="593">
        <f t="shared" ref="E57:K64" si="9">D57/E$54</f>
        <v>0.6875</v>
      </c>
      <c r="F57" s="594">
        <v>10</v>
      </c>
      <c r="G57" s="593">
        <f t="shared" si="9"/>
        <v>0.66666666666666663</v>
      </c>
      <c r="H57" s="594">
        <v>9</v>
      </c>
      <c r="I57" s="593">
        <f t="shared" ref="I57:I64" si="10">H57/I$54</f>
        <v>0.6428571428571429</v>
      </c>
      <c r="J57" s="594">
        <v>9</v>
      </c>
      <c r="K57" s="593">
        <f t="shared" si="9"/>
        <v>0.6428571428571429</v>
      </c>
      <c r="L57" s="594">
        <v>10</v>
      </c>
      <c r="M57" s="593">
        <f t="shared" ref="M57:M62" si="11">L57/M$54</f>
        <v>0.7142857142857143</v>
      </c>
      <c r="N57" s="594">
        <v>9</v>
      </c>
      <c r="O57" s="593">
        <f t="shared" ref="O57:Q62" si="12">N57/O$54</f>
        <v>0.6</v>
      </c>
      <c r="P57" s="594">
        <v>11</v>
      </c>
      <c r="Q57" s="593">
        <f t="shared" si="12"/>
        <v>0.61111111111111116</v>
      </c>
      <c r="R57" s="594">
        <v>10</v>
      </c>
      <c r="S57" s="593">
        <f t="shared" ref="S57:S62" si="13">R57/S$54</f>
        <v>0.625</v>
      </c>
      <c r="T57" s="919"/>
      <c r="U57" s="920" t="e">
        <f t="shared" ref="U57:U62" si="14">T57/U$54</f>
        <v>#DIV/0!</v>
      </c>
      <c r="V57" s="192"/>
      <c r="W57" s="807">
        <f t="shared" ref="W57:W76" si="15">AVERAGE(N57,L57,R57,T57,P57)</f>
        <v>10</v>
      </c>
      <c r="X57" s="193" t="e">
        <f>AVERAGE(O57,M57,U57,S57,Q57)</f>
        <v>#DIV/0!</v>
      </c>
    </row>
    <row r="58" spans="1:24" s="1" customFormat="1" ht="15" customHeight="1" x14ac:dyDescent="0.2">
      <c r="A58" s="194" t="s">
        <v>46</v>
      </c>
      <c r="B58" s="187">
        <v>0</v>
      </c>
      <c r="C58" s="188">
        <f t="shared" si="8"/>
        <v>0</v>
      </c>
      <c r="D58" s="187">
        <v>0</v>
      </c>
      <c r="E58" s="189">
        <f t="shared" si="9"/>
        <v>0</v>
      </c>
      <c r="F58" s="190">
        <v>0</v>
      </c>
      <c r="G58" s="189">
        <f t="shared" si="9"/>
        <v>0</v>
      </c>
      <c r="H58" s="190">
        <v>0</v>
      </c>
      <c r="I58" s="189">
        <f t="shared" si="10"/>
        <v>0</v>
      </c>
      <c r="J58" s="190">
        <v>0</v>
      </c>
      <c r="K58" s="189">
        <f t="shared" si="9"/>
        <v>0</v>
      </c>
      <c r="L58" s="190">
        <v>0</v>
      </c>
      <c r="M58" s="189">
        <f t="shared" si="11"/>
        <v>0</v>
      </c>
      <c r="N58" s="190">
        <v>0</v>
      </c>
      <c r="O58" s="189">
        <f t="shared" si="12"/>
        <v>0</v>
      </c>
      <c r="P58" s="190">
        <v>0</v>
      </c>
      <c r="Q58" s="189">
        <f t="shared" si="12"/>
        <v>0</v>
      </c>
      <c r="R58" s="190"/>
      <c r="S58" s="189">
        <f t="shared" si="13"/>
        <v>0</v>
      </c>
      <c r="T58" s="921"/>
      <c r="U58" s="922" t="e">
        <f t="shared" si="14"/>
        <v>#DIV/0!</v>
      </c>
      <c r="V58" s="192"/>
      <c r="W58" s="807">
        <f t="shared" si="15"/>
        <v>0</v>
      </c>
      <c r="X58" s="193" t="e">
        <f t="shared" ref="X58:X76" si="16">AVERAGE(O58,M58,U58,S58,Q58)</f>
        <v>#DIV/0!</v>
      </c>
    </row>
    <row r="59" spans="1:24" s="1" customFormat="1" ht="15" customHeight="1" x14ac:dyDescent="0.2">
      <c r="A59" s="194" t="s">
        <v>47</v>
      </c>
      <c r="B59" s="187">
        <v>0</v>
      </c>
      <c r="C59" s="188">
        <f t="shared" si="8"/>
        <v>0</v>
      </c>
      <c r="D59" s="187">
        <v>0</v>
      </c>
      <c r="E59" s="189">
        <f t="shared" si="9"/>
        <v>0</v>
      </c>
      <c r="F59" s="190">
        <v>0</v>
      </c>
      <c r="G59" s="189">
        <f t="shared" si="9"/>
        <v>0</v>
      </c>
      <c r="H59" s="190">
        <v>0</v>
      </c>
      <c r="I59" s="189">
        <f t="shared" si="10"/>
        <v>0</v>
      </c>
      <c r="J59" s="190">
        <v>0</v>
      </c>
      <c r="K59" s="189">
        <f t="shared" si="9"/>
        <v>0</v>
      </c>
      <c r="L59" s="190">
        <v>0</v>
      </c>
      <c r="M59" s="189">
        <f t="shared" si="11"/>
        <v>0</v>
      </c>
      <c r="N59" s="190">
        <v>0</v>
      </c>
      <c r="O59" s="189">
        <f t="shared" si="12"/>
        <v>0</v>
      </c>
      <c r="P59" s="190">
        <v>0</v>
      </c>
      <c r="Q59" s="189">
        <f t="shared" si="12"/>
        <v>0</v>
      </c>
      <c r="R59" s="190"/>
      <c r="S59" s="189">
        <f t="shared" si="13"/>
        <v>0</v>
      </c>
      <c r="T59" s="921"/>
      <c r="U59" s="922" t="e">
        <f t="shared" si="14"/>
        <v>#DIV/0!</v>
      </c>
      <c r="V59" s="192"/>
      <c r="W59" s="807">
        <f t="shared" si="15"/>
        <v>0</v>
      </c>
      <c r="X59" s="193" t="e">
        <f t="shared" si="16"/>
        <v>#DIV/0!</v>
      </c>
    </row>
    <row r="60" spans="1:24" s="1" customFormat="1" ht="15" customHeight="1" x14ac:dyDescent="0.2">
      <c r="A60" s="194" t="s">
        <v>48</v>
      </c>
      <c r="B60" s="187">
        <v>0</v>
      </c>
      <c r="C60" s="188">
        <f t="shared" si="8"/>
        <v>0</v>
      </c>
      <c r="D60" s="187">
        <v>0</v>
      </c>
      <c r="E60" s="189">
        <f t="shared" si="9"/>
        <v>0</v>
      </c>
      <c r="F60" s="190">
        <v>0</v>
      </c>
      <c r="G60" s="189">
        <f t="shared" si="9"/>
        <v>0</v>
      </c>
      <c r="H60" s="190">
        <v>0</v>
      </c>
      <c r="I60" s="189">
        <f t="shared" si="10"/>
        <v>0</v>
      </c>
      <c r="J60" s="190">
        <v>0</v>
      </c>
      <c r="K60" s="189">
        <f t="shared" si="9"/>
        <v>0</v>
      </c>
      <c r="L60" s="190">
        <v>0</v>
      </c>
      <c r="M60" s="189">
        <f t="shared" si="11"/>
        <v>0</v>
      </c>
      <c r="N60" s="190">
        <v>0</v>
      </c>
      <c r="O60" s="189">
        <f t="shared" si="12"/>
        <v>0</v>
      </c>
      <c r="P60" s="190">
        <v>0</v>
      </c>
      <c r="Q60" s="189">
        <f t="shared" si="12"/>
        <v>0</v>
      </c>
      <c r="R60" s="190"/>
      <c r="S60" s="189">
        <f t="shared" si="13"/>
        <v>0</v>
      </c>
      <c r="T60" s="921"/>
      <c r="U60" s="922" t="e">
        <f t="shared" si="14"/>
        <v>#DIV/0!</v>
      </c>
      <c r="V60" s="192"/>
      <c r="W60" s="807">
        <f t="shared" si="15"/>
        <v>0</v>
      </c>
      <c r="X60" s="193" t="e">
        <f t="shared" si="16"/>
        <v>#DIV/0!</v>
      </c>
    </row>
    <row r="61" spans="1:24" s="1" customFormat="1" ht="15" customHeight="1" x14ac:dyDescent="0.2">
      <c r="A61" s="194" t="s">
        <v>49</v>
      </c>
      <c r="B61" s="187">
        <v>4</v>
      </c>
      <c r="C61" s="188">
        <f t="shared" si="8"/>
        <v>0.25</v>
      </c>
      <c r="D61" s="187">
        <v>4</v>
      </c>
      <c r="E61" s="189">
        <f t="shared" si="9"/>
        <v>0.25</v>
      </c>
      <c r="F61" s="190">
        <v>4</v>
      </c>
      <c r="G61" s="189">
        <f t="shared" si="9"/>
        <v>0.26666666666666666</v>
      </c>
      <c r="H61" s="190">
        <v>4</v>
      </c>
      <c r="I61" s="189">
        <f t="shared" si="10"/>
        <v>0.2857142857142857</v>
      </c>
      <c r="J61" s="190">
        <v>3</v>
      </c>
      <c r="K61" s="189">
        <f t="shared" si="9"/>
        <v>0.21428571428571427</v>
      </c>
      <c r="L61" s="190">
        <v>3</v>
      </c>
      <c r="M61" s="189">
        <f t="shared" si="11"/>
        <v>0.21428571428571427</v>
      </c>
      <c r="N61" s="190">
        <v>4</v>
      </c>
      <c r="O61" s="189">
        <f t="shared" si="12"/>
        <v>0.26666666666666666</v>
      </c>
      <c r="P61" s="190">
        <v>5</v>
      </c>
      <c r="Q61" s="189">
        <f t="shared" si="12"/>
        <v>0.27777777777777779</v>
      </c>
      <c r="R61" s="190">
        <v>4</v>
      </c>
      <c r="S61" s="189">
        <f t="shared" si="13"/>
        <v>0.25</v>
      </c>
      <c r="T61" s="921"/>
      <c r="U61" s="922" t="e">
        <f t="shared" si="14"/>
        <v>#DIV/0!</v>
      </c>
      <c r="V61" s="192"/>
      <c r="W61" s="807">
        <f t="shared" si="15"/>
        <v>4</v>
      </c>
      <c r="X61" s="193" t="e">
        <f t="shared" si="16"/>
        <v>#DIV/0!</v>
      </c>
    </row>
    <row r="62" spans="1:24" s="1" customFormat="1" ht="15" customHeight="1" x14ac:dyDescent="0.2">
      <c r="A62" s="194" t="s">
        <v>50</v>
      </c>
      <c r="B62" s="187">
        <v>2</v>
      </c>
      <c r="C62" s="188">
        <f t="shared" si="8"/>
        <v>0.125</v>
      </c>
      <c r="D62" s="187">
        <v>1</v>
      </c>
      <c r="E62" s="189">
        <f t="shared" si="9"/>
        <v>6.25E-2</v>
      </c>
      <c r="F62" s="190">
        <v>1</v>
      </c>
      <c r="G62" s="189">
        <f t="shared" si="9"/>
        <v>6.6666666666666666E-2</v>
      </c>
      <c r="H62" s="190">
        <v>1</v>
      </c>
      <c r="I62" s="189">
        <f t="shared" si="10"/>
        <v>7.1428571428571425E-2</v>
      </c>
      <c r="J62" s="190">
        <v>2</v>
      </c>
      <c r="K62" s="189">
        <f t="shared" si="9"/>
        <v>0.14285714285714285</v>
      </c>
      <c r="L62" s="190">
        <v>1</v>
      </c>
      <c r="M62" s="189">
        <f t="shared" si="11"/>
        <v>7.1428571428571425E-2</v>
      </c>
      <c r="N62" s="190">
        <v>2</v>
      </c>
      <c r="O62" s="189">
        <f t="shared" si="12"/>
        <v>0.13333333333333333</v>
      </c>
      <c r="P62" s="190">
        <v>2</v>
      </c>
      <c r="Q62" s="189">
        <f t="shared" si="12"/>
        <v>0.1111111111111111</v>
      </c>
      <c r="R62" s="190">
        <v>2</v>
      </c>
      <c r="S62" s="189">
        <f t="shared" si="13"/>
        <v>0.125</v>
      </c>
      <c r="T62" s="921"/>
      <c r="U62" s="922" t="e">
        <f t="shared" si="14"/>
        <v>#DIV/0!</v>
      </c>
      <c r="V62" s="192"/>
      <c r="W62" s="807">
        <f t="shared" si="15"/>
        <v>1.75</v>
      </c>
      <c r="X62" s="193" t="e">
        <f t="shared" si="16"/>
        <v>#DIV/0!</v>
      </c>
    </row>
    <row r="63" spans="1:24" s="1" customFormat="1" ht="15" customHeight="1" x14ac:dyDescent="0.2">
      <c r="A63" s="194" t="s">
        <v>51</v>
      </c>
      <c r="B63" s="784"/>
      <c r="C63" s="783"/>
      <c r="D63" s="784"/>
      <c r="E63" s="785"/>
      <c r="F63" s="786"/>
      <c r="G63" s="785"/>
      <c r="H63" s="196">
        <v>0</v>
      </c>
      <c r="I63" s="189">
        <f t="shared" si="10"/>
        <v>0</v>
      </c>
      <c r="J63" s="196">
        <v>0</v>
      </c>
      <c r="K63" s="189">
        <f>J63/K$54</f>
        <v>0</v>
      </c>
      <c r="L63" s="196">
        <v>0</v>
      </c>
      <c r="M63" s="189">
        <f>L63/M$54</f>
        <v>0</v>
      </c>
      <c r="N63" s="196">
        <v>0</v>
      </c>
      <c r="O63" s="189">
        <f>N63/O$54</f>
        <v>0</v>
      </c>
      <c r="P63" s="196">
        <v>0</v>
      </c>
      <c r="Q63" s="189">
        <f>P63/Q$54</f>
        <v>0</v>
      </c>
      <c r="R63" s="196"/>
      <c r="S63" s="189">
        <f>R63/S$54</f>
        <v>0</v>
      </c>
      <c r="T63" s="921"/>
      <c r="U63" s="922" t="e">
        <f>T63/U$54</f>
        <v>#DIV/0!</v>
      </c>
      <c r="V63" s="192"/>
      <c r="W63" s="807">
        <f t="shared" si="15"/>
        <v>0</v>
      </c>
      <c r="X63" s="193" t="e">
        <f t="shared" si="16"/>
        <v>#DIV/0!</v>
      </c>
    </row>
    <row r="64" spans="1:24" s="1" customFormat="1" ht="15" customHeight="1" thickBot="1" x14ac:dyDescent="0.25">
      <c r="A64" s="194" t="s">
        <v>52</v>
      </c>
      <c r="B64" s="195">
        <v>0</v>
      </c>
      <c r="C64" s="627">
        <f t="shared" si="8"/>
        <v>0</v>
      </c>
      <c r="D64" s="195">
        <v>0</v>
      </c>
      <c r="E64" s="628">
        <f t="shared" si="9"/>
        <v>0</v>
      </c>
      <c r="F64" s="196">
        <v>0</v>
      </c>
      <c r="G64" s="628">
        <f t="shared" si="9"/>
        <v>0</v>
      </c>
      <c r="H64" s="196">
        <v>0</v>
      </c>
      <c r="I64" s="628">
        <f t="shared" si="10"/>
        <v>0</v>
      </c>
      <c r="J64" s="196">
        <v>0</v>
      </c>
      <c r="K64" s="628">
        <f t="shared" si="9"/>
        <v>0</v>
      </c>
      <c r="L64" s="196">
        <v>0</v>
      </c>
      <c r="M64" s="628">
        <f>L64/M$54</f>
        <v>0</v>
      </c>
      <c r="N64" s="196">
        <v>0</v>
      </c>
      <c r="O64" s="628">
        <f>N64/O$54</f>
        <v>0</v>
      </c>
      <c r="P64" s="196">
        <v>0</v>
      </c>
      <c r="Q64" s="628">
        <f>P64/Q$54</f>
        <v>0</v>
      </c>
      <c r="R64" s="196"/>
      <c r="S64" s="628">
        <f>R64/S$54</f>
        <v>0</v>
      </c>
      <c r="T64" s="786"/>
      <c r="U64" s="923" t="e">
        <f>T64/U$54</f>
        <v>#DIV/0!</v>
      </c>
      <c r="V64" s="192"/>
      <c r="W64" s="807">
        <f t="shared" si="15"/>
        <v>0</v>
      </c>
      <c r="X64" s="193" t="e">
        <f t="shared" si="16"/>
        <v>#DIV/0!</v>
      </c>
    </row>
    <row r="65" spans="1:24" s="1" customFormat="1" ht="18" customHeight="1" x14ac:dyDescent="0.2">
      <c r="A65" s="603" t="s">
        <v>53</v>
      </c>
      <c r="B65" s="632"/>
      <c r="C65" s="633"/>
      <c r="D65" s="632"/>
      <c r="E65" s="634"/>
      <c r="F65" s="635"/>
      <c r="G65" s="634"/>
      <c r="H65" s="635"/>
      <c r="I65" s="634"/>
      <c r="J65" s="635"/>
      <c r="K65" s="634"/>
      <c r="L65" s="635"/>
      <c r="M65" s="634"/>
      <c r="N65" s="635"/>
      <c r="O65" s="634"/>
      <c r="P65" s="635"/>
      <c r="Q65" s="634"/>
      <c r="R65" s="635"/>
      <c r="S65" s="634"/>
      <c r="T65" s="924"/>
      <c r="U65" s="925"/>
      <c r="V65" s="192"/>
      <c r="W65" s="807"/>
      <c r="X65" s="193"/>
    </row>
    <row r="66" spans="1:24" s="1" customFormat="1" ht="15" customHeight="1" x14ac:dyDescent="0.2">
      <c r="A66" s="186" t="s">
        <v>54</v>
      </c>
      <c r="B66" s="202">
        <v>15</v>
      </c>
      <c r="C66" s="188">
        <f>B66/C$54</f>
        <v>0.9375</v>
      </c>
      <c r="D66" s="202">
        <v>15</v>
      </c>
      <c r="E66" s="189">
        <f>D66/E$54</f>
        <v>0.9375</v>
      </c>
      <c r="F66" s="93">
        <v>14</v>
      </c>
      <c r="G66" s="189">
        <f>F66/G$54</f>
        <v>0.93333333333333335</v>
      </c>
      <c r="H66" s="93">
        <v>13</v>
      </c>
      <c r="I66" s="189">
        <f>H66/I$54</f>
        <v>0.9285714285714286</v>
      </c>
      <c r="J66" s="93">
        <v>13</v>
      </c>
      <c r="K66" s="189">
        <f>J66/K$54</f>
        <v>0.9285714285714286</v>
      </c>
      <c r="L66" s="93">
        <v>12</v>
      </c>
      <c r="M66" s="189">
        <f>L66/M$54</f>
        <v>0.8571428571428571</v>
      </c>
      <c r="N66" s="93">
        <v>13</v>
      </c>
      <c r="O66" s="189">
        <f>N66/O$54</f>
        <v>0.8666666666666667</v>
      </c>
      <c r="P66" s="93">
        <v>14</v>
      </c>
      <c r="Q66" s="189">
        <f>P66/Q$54</f>
        <v>0.77777777777777779</v>
      </c>
      <c r="R66" s="93">
        <v>12</v>
      </c>
      <c r="S66" s="189">
        <f>R66/S$54</f>
        <v>0.75</v>
      </c>
      <c r="T66" s="926"/>
      <c r="U66" s="922" t="e">
        <f>T66/U$54</f>
        <v>#DIV/0!</v>
      </c>
      <c r="V66" s="192"/>
      <c r="W66" s="807">
        <f t="shared" si="15"/>
        <v>12.75</v>
      </c>
      <c r="X66" s="193" t="e">
        <f t="shared" si="16"/>
        <v>#DIV/0!</v>
      </c>
    </row>
    <row r="67" spans="1:24" s="1" customFormat="1" ht="15" customHeight="1" thickBot="1" x14ac:dyDescent="0.25">
      <c r="A67" s="194" t="s">
        <v>55</v>
      </c>
      <c r="B67" s="630">
        <v>1</v>
      </c>
      <c r="C67" s="627">
        <f>B67/C$54</f>
        <v>6.25E-2</v>
      </c>
      <c r="D67" s="630">
        <v>1</v>
      </c>
      <c r="E67" s="628">
        <f>D67/E$54</f>
        <v>6.25E-2</v>
      </c>
      <c r="F67" s="631">
        <v>1</v>
      </c>
      <c r="G67" s="628">
        <f>F67/G$54</f>
        <v>6.6666666666666666E-2</v>
      </c>
      <c r="H67" s="631">
        <v>1</v>
      </c>
      <c r="I67" s="628">
        <f>H67/I$54</f>
        <v>7.1428571428571425E-2</v>
      </c>
      <c r="J67" s="631">
        <v>1</v>
      </c>
      <c r="K67" s="628">
        <f>J67/K$54</f>
        <v>7.1428571428571425E-2</v>
      </c>
      <c r="L67" s="631">
        <v>2</v>
      </c>
      <c r="M67" s="628">
        <f>L67/M$54</f>
        <v>0.14285714285714285</v>
      </c>
      <c r="N67" s="631">
        <v>2</v>
      </c>
      <c r="O67" s="628">
        <f>N67/O$54</f>
        <v>0.13333333333333333</v>
      </c>
      <c r="P67" s="631">
        <v>4</v>
      </c>
      <c r="Q67" s="628">
        <f>P67/Q$54</f>
        <v>0.22222222222222221</v>
      </c>
      <c r="R67" s="631">
        <v>4</v>
      </c>
      <c r="S67" s="628">
        <f>R67/S$54</f>
        <v>0.25</v>
      </c>
      <c r="T67" s="927"/>
      <c r="U67" s="923" t="e">
        <f>T67/U$54</f>
        <v>#DIV/0!</v>
      </c>
      <c r="V67" s="192"/>
      <c r="W67" s="807">
        <f t="shared" si="15"/>
        <v>3</v>
      </c>
      <c r="X67" s="193" t="e">
        <f t="shared" si="16"/>
        <v>#DIV/0!</v>
      </c>
    </row>
    <row r="68" spans="1:24" s="1" customFormat="1" ht="18" customHeight="1" x14ac:dyDescent="0.2">
      <c r="A68" s="603" t="s">
        <v>56</v>
      </c>
      <c r="B68" s="637"/>
      <c r="C68" s="638"/>
      <c r="D68" s="637"/>
      <c r="E68" s="639"/>
      <c r="F68" s="640"/>
      <c r="G68" s="639"/>
      <c r="H68" s="640"/>
      <c r="I68" s="639"/>
      <c r="J68" s="640"/>
      <c r="K68" s="639"/>
      <c r="L68" s="640"/>
      <c r="M68" s="639"/>
      <c r="N68" s="640"/>
      <c r="O68" s="639"/>
      <c r="P68" s="640"/>
      <c r="Q68" s="639"/>
      <c r="R68" s="640"/>
      <c r="S68" s="639"/>
      <c r="T68" s="928"/>
      <c r="U68" s="929"/>
      <c r="V68" s="192"/>
      <c r="W68" s="807"/>
      <c r="X68" s="193"/>
    </row>
    <row r="69" spans="1:24" s="1" customFormat="1" ht="15" customHeight="1" x14ac:dyDescent="0.2">
      <c r="A69" s="186" t="s">
        <v>57</v>
      </c>
      <c r="B69" s="203">
        <v>13</v>
      </c>
      <c r="C69" s="188">
        <f>B69/C$54</f>
        <v>0.8125</v>
      </c>
      <c r="D69" s="203">
        <v>13</v>
      </c>
      <c r="E69" s="189">
        <f>D69/E$54</f>
        <v>0.8125</v>
      </c>
      <c r="F69" s="204">
        <v>12</v>
      </c>
      <c r="G69" s="189">
        <f>F69/G$54</f>
        <v>0.8</v>
      </c>
      <c r="H69" s="204">
        <v>11</v>
      </c>
      <c r="I69" s="189">
        <f>H69/I$54</f>
        <v>0.7857142857142857</v>
      </c>
      <c r="J69" s="204">
        <v>10</v>
      </c>
      <c r="K69" s="189">
        <f>J69/K$54</f>
        <v>0.7142857142857143</v>
      </c>
      <c r="L69" s="204">
        <v>9</v>
      </c>
      <c r="M69" s="189">
        <f>L69/M$54</f>
        <v>0.6428571428571429</v>
      </c>
      <c r="N69" s="204">
        <v>8</v>
      </c>
      <c r="O69" s="189">
        <f>N69/O$54</f>
        <v>0.53333333333333333</v>
      </c>
      <c r="P69" s="204">
        <v>9</v>
      </c>
      <c r="Q69" s="189">
        <f>P69/Q$54</f>
        <v>0.5</v>
      </c>
      <c r="R69" s="204">
        <v>8</v>
      </c>
      <c r="S69" s="189">
        <f>R69/S$54</f>
        <v>0.5</v>
      </c>
      <c r="T69" s="930"/>
      <c r="U69" s="922" t="e">
        <f>T69/U$54</f>
        <v>#DIV/0!</v>
      </c>
      <c r="V69" s="192"/>
      <c r="W69" s="807">
        <f t="shared" si="15"/>
        <v>8.5</v>
      </c>
      <c r="X69" s="193" t="e">
        <f t="shared" si="16"/>
        <v>#DIV/0!</v>
      </c>
    </row>
    <row r="70" spans="1:24" s="1" customFormat="1" ht="15" customHeight="1" x14ac:dyDescent="0.2">
      <c r="A70" s="186" t="s">
        <v>58</v>
      </c>
      <c r="B70" s="203">
        <v>2</v>
      </c>
      <c r="C70" s="188">
        <f>B70/C$54</f>
        <v>0.125</v>
      </c>
      <c r="D70" s="203">
        <v>2</v>
      </c>
      <c r="E70" s="189">
        <f>D70/E$54</f>
        <v>0.125</v>
      </c>
      <c r="F70" s="204">
        <v>2</v>
      </c>
      <c r="G70" s="189">
        <f>F70/G$54</f>
        <v>0.13333333333333333</v>
      </c>
      <c r="H70" s="204">
        <v>3</v>
      </c>
      <c r="I70" s="189">
        <f>H70/I$54</f>
        <v>0.21428571428571427</v>
      </c>
      <c r="J70" s="204">
        <v>1</v>
      </c>
      <c r="K70" s="189">
        <f>J70/K$54</f>
        <v>7.1428571428571425E-2</v>
      </c>
      <c r="L70" s="204">
        <v>4</v>
      </c>
      <c r="M70" s="189">
        <f>L70/M$54</f>
        <v>0.2857142857142857</v>
      </c>
      <c r="N70" s="204">
        <v>5</v>
      </c>
      <c r="O70" s="189">
        <f>N70/O$54</f>
        <v>0.33333333333333331</v>
      </c>
      <c r="P70" s="204">
        <v>6</v>
      </c>
      <c r="Q70" s="189">
        <f>P70/Q$54</f>
        <v>0.33333333333333331</v>
      </c>
      <c r="R70" s="204">
        <v>6</v>
      </c>
      <c r="S70" s="189">
        <f>R70/S$54</f>
        <v>0.375</v>
      </c>
      <c r="T70" s="930"/>
      <c r="U70" s="922" t="e">
        <f>T70/U$54</f>
        <v>#DIV/0!</v>
      </c>
      <c r="V70" s="192"/>
      <c r="W70" s="807">
        <f t="shared" si="15"/>
        <v>5.25</v>
      </c>
      <c r="X70" s="193" t="e">
        <f t="shared" si="16"/>
        <v>#DIV/0!</v>
      </c>
    </row>
    <row r="71" spans="1:24" s="1" customFormat="1" ht="15" customHeight="1" thickBot="1" x14ac:dyDescent="0.25">
      <c r="A71" s="194" t="s">
        <v>59</v>
      </c>
      <c r="B71" s="630">
        <v>1</v>
      </c>
      <c r="C71" s="627">
        <f>B71/C$54</f>
        <v>6.25E-2</v>
      </c>
      <c r="D71" s="630">
        <v>1</v>
      </c>
      <c r="E71" s="628">
        <f>D71/E$54</f>
        <v>6.25E-2</v>
      </c>
      <c r="F71" s="631">
        <v>1</v>
      </c>
      <c r="G71" s="628">
        <f>F71/G$54</f>
        <v>6.6666666666666666E-2</v>
      </c>
      <c r="H71" s="631">
        <v>0</v>
      </c>
      <c r="I71" s="628">
        <f>H71/I$54</f>
        <v>0</v>
      </c>
      <c r="J71" s="631">
        <v>3</v>
      </c>
      <c r="K71" s="628">
        <f>J71/K$54</f>
        <v>0.21428571428571427</v>
      </c>
      <c r="L71" s="631">
        <v>1</v>
      </c>
      <c r="M71" s="628">
        <f>L71/M$54</f>
        <v>7.1428571428571425E-2</v>
      </c>
      <c r="N71" s="631">
        <v>2</v>
      </c>
      <c r="O71" s="628">
        <f>N71/O$54</f>
        <v>0.13333333333333333</v>
      </c>
      <c r="P71" s="631">
        <v>3</v>
      </c>
      <c r="Q71" s="628">
        <f>P71/Q$54</f>
        <v>0.16666666666666666</v>
      </c>
      <c r="R71" s="631">
        <v>2</v>
      </c>
      <c r="S71" s="628">
        <f>R71/S$54</f>
        <v>0.125</v>
      </c>
      <c r="T71" s="927"/>
      <c r="U71" s="923" t="e">
        <f>T71/U$54</f>
        <v>#DIV/0!</v>
      </c>
      <c r="V71" s="192"/>
      <c r="W71" s="807">
        <f t="shared" si="15"/>
        <v>2</v>
      </c>
      <c r="X71" s="193" t="e">
        <f t="shared" si="16"/>
        <v>#DIV/0!</v>
      </c>
    </row>
    <row r="72" spans="1:24" s="1" customFormat="1" ht="18" customHeight="1" x14ac:dyDescent="0.2">
      <c r="A72" s="603" t="s">
        <v>60</v>
      </c>
      <c r="B72" s="637"/>
      <c r="C72" s="638"/>
      <c r="D72" s="637"/>
      <c r="E72" s="639"/>
      <c r="F72" s="640"/>
      <c r="G72" s="639"/>
      <c r="H72" s="640"/>
      <c r="I72" s="639"/>
      <c r="J72" s="640"/>
      <c r="K72" s="639"/>
      <c r="L72" s="640"/>
      <c r="M72" s="639"/>
      <c r="N72" s="640"/>
      <c r="O72" s="639"/>
      <c r="P72" s="640"/>
      <c r="Q72" s="639"/>
      <c r="R72" s="640"/>
      <c r="S72" s="639"/>
      <c r="T72" s="928"/>
      <c r="U72" s="929"/>
      <c r="V72" s="192"/>
      <c r="W72" s="807"/>
      <c r="X72" s="193"/>
    </row>
    <row r="73" spans="1:24" s="1" customFormat="1" ht="15" customHeight="1" x14ac:dyDescent="0.2">
      <c r="A73" s="186" t="s">
        <v>61</v>
      </c>
      <c r="B73" s="203">
        <v>16</v>
      </c>
      <c r="C73" s="188">
        <f>B73/C$54</f>
        <v>1</v>
      </c>
      <c r="D73" s="203">
        <v>15</v>
      </c>
      <c r="E73" s="189">
        <f>D73/E$54</f>
        <v>0.9375</v>
      </c>
      <c r="F73" s="204">
        <v>14</v>
      </c>
      <c r="G73" s="189">
        <f>F73/G$54</f>
        <v>0.93333333333333335</v>
      </c>
      <c r="H73" s="204">
        <v>13</v>
      </c>
      <c r="I73" s="189">
        <f>H73/I$54</f>
        <v>0.9285714285714286</v>
      </c>
      <c r="J73" s="204">
        <v>13</v>
      </c>
      <c r="K73" s="189">
        <f>J73/K$54</f>
        <v>0.9285714285714286</v>
      </c>
      <c r="L73" s="204">
        <v>13</v>
      </c>
      <c r="M73" s="189">
        <f>L73/M$54</f>
        <v>0.9285714285714286</v>
      </c>
      <c r="N73" s="204">
        <v>14</v>
      </c>
      <c r="O73" s="189">
        <f>N73/O$54</f>
        <v>0.93333333333333335</v>
      </c>
      <c r="P73" s="204">
        <v>17</v>
      </c>
      <c r="Q73" s="189">
        <f>P73/Q$54</f>
        <v>0.94444444444444442</v>
      </c>
      <c r="R73" s="204">
        <v>15</v>
      </c>
      <c r="S73" s="189">
        <f>R73/S$54</f>
        <v>0.9375</v>
      </c>
      <c r="T73" s="930"/>
      <c r="U73" s="922" t="e">
        <f>T73/U$54</f>
        <v>#DIV/0!</v>
      </c>
      <c r="V73" s="192"/>
      <c r="W73" s="807">
        <f t="shared" si="15"/>
        <v>14.75</v>
      </c>
      <c r="X73" s="193" t="e">
        <f t="shared" si="16"/>
        <v>#DIV/0!</v>
      </c>
    </row>
    <row r="74" spans="1:24" s="1" customFormat="1" ht="15" customHeight="1" x14ac:dyDescent="0.2">
      <c r="A74" s="186" t="s">
        <v>62</v>
      </c>
      <c r="B74" s="203">
        <v>0</v>
      </c>
      <c r="C74" s="188">
        <f>B74/C$54</f>
        <v>0</v>
      </c>
      <c r="D74" s="203">
        <v>1</v>
      </c>
      <c r="E74" s="189">
        <f>D74/E$54</f>
        <v>6.25E-2</v>
      </c>
      <c r="F74" s="204">
        <v>1</v>
      </c>
      <c r="G74" s="189">
        <f>F74/G$54</f>
        <v>6.6666666666666666E-2</v>
      </c>
      <c r="H74" s="204">
        <v>1</v>
      </c>
      <c r="I74" s="189">
        <f>H74/I$54</f>
        <v>7.1428571428571425E-2</v>
      </c>
      <c r="J74" s="204">
        <v>1</v>
      </c>
      <c r="K74" s="189">
        <f>J74/K$54</f>
        <v>7.1428571428571425E-2</v>
      </c>
      <c r="L74" s="204">
        <v>1</v>
      </c>
      <c r="M74" s="189">
        <f>L74/M$54</f>
        <v>7.1428571428571425E-2</v>
      </c>
      <c r="N74" s="204">
        <v>1</v>
      </c>
      <c r="O74" s="189">
        <f>N74/O$54</f>
        <v>6.6666666666666666E-2</v>
      </c>
      <c r="P74" s="204">
        <v>1</v>
      </c>
      <c r="Q74" s="189">
        <f>P74/Q$54</f>
        <v>5.5555555555555552E-2</v>
      </c>
      <c r="R74" s="204">
        <v>1</v>
      </c>
      <c r="S74" s="189">
        <f>R74/S$54</f>
        <v>6.25E-2</v>
      </c>
      <c r="T74" s="930"/>
      <c r="U74" s="922" t="e">
        <f>T74/U$54</f>
        <v>#DIV/0!</v>
      </c>
      <c r="V74" s="192"/>
      <c r="W74" s="807">
        <f t="shared" si="15"/>
        <v>1</v>
      </c>
      <c r="X74" s="193" t="e">
        <f t="shared" si="16"/>
        <v>#DIV/0!</v>
      </c>
    </row>
    <row r="75" spans="1:24" s="1" customFormat="1" ht="15" customHeight="1" x14ac:dyDescent="0.2">
      <c r="A75" s="186" t="s">
        <v>63</v>
      </c>
      <c r="B75" s="203">
        <v>0</v>
      </c>
      <c r="C75" s="188">
        <f>B75/C$54</f>
        <v>0</v>
      </c>
      <c r="D75" s="203">
        <v>0</v>
      </c>
      <c r="E75" s="189">
        <f>D75/E$54</f>
        <v>0</v>
      </c>
      <c r="F75" s="204">
        <v>0</v>
      </c>
      <c r="G75" s="189">
        <f>F75/G$54</f>
        <v>0</v>
      </c>
      <c r="H75" s="204">
        <v>0</v>
      </c>
      <c r="I75" s="189">
        <f>H75/I$54</f>
        <v>0</v>
      </c>
      <c r="J75" s="204">
        <v>0</v>
      </c>
      <c r="K75" s="189">
        <f>J75/K$54</f>
        <v>0</v>
      </c>
      <c r="L75" s="204">
        <v>0</v>
      </c>
      <c r="M75" s="189">
        <f>L75/M$54</f>
        <v>0</v>
      </c>
      <c r="N75" s="204">
        <v>0</v>
      </c>
      <c r="O75" s="189">
        <f>N75/O$54</f>
        <v>0</v>
      </c>
      <c r="P75" s="204">
        <v>0</v>
      </c>
      <c r="Q75" s="189">
        <f>P75/Q$54</f>
        <v>0</v>
      </c>
      <c r="R75" s="204"/>
      <c r="S75" s="189">
        <f>R75/S$54</f>
        <v>0</v>
      </c>
      <c r="T75" s="930"/>
      <c r="U75" s="922" t="e">
        <f>T75/U$54</f>
        <v>#DIV/0!</v>
      </c>
      <c r="V75" s="182"/>
      <c r="W75" s="807">
        <f t="shared" si="15"/>
        <v>0</v>
      </c>
      <c r="X75" s="193" t="e">
        <f t="shared" si="16"/>
        <v>#DIV/0!</v>
      </c>
    </row>
    <row r="76" spans="1:24" s="1" customFormat="1" ht="15" customHeight="1" thickBot="1" x14ac:dyDescent="0.25">
      <c r="A76" s="207" t="s">
        <v>64</v>
      </c>
      <c r="B76" s="208">
        <v>0</v>
      </c>
      <c r="C76" s="209">
        <f>B76/C$54</f>
        <v>0</v>
      </c>
      <c r="D76" s="208">
        <v>0</v>
      </c>
      <c r="E76" s="210">
        <f>D76/E$54</f>
        <v>0</v>
      </c>
      <c r="F76" s="211">
        <v>0</v>
      </c>
      <c r="G76" s="210">
        <f>F76/G$54</f>
        <v>0</v>
      </c>
      <c r="H76" s="211">
        <v>0</v>
      </c>
      <c r="I76" s="210">
        <f>H76/I$54</f>
        <v>0</v>
      </c>
      <c r="J76" s="211">
        <v>0</v>
      </c>
      <c r="K76" s="210">
        <f>J76/K$54</f>
        <v>0</v>
      </c>
      <c r="L76" s="211">
        <v>0</v>
      </c>
      <c r="M76" s="210">
        <f>L76/M$54</f>
        <v>0</v>
      </c>
      <c r="N76" s="211">
        <v>0</v>
      </c>
      <c r="O76" s="210">
        <f>N76/O$54</f>
        <v>0</v>
      </c>
      <c r="P76" s="211">
        <v>0</v>
      </c>
      <c r="Q76" s="210">
        <f>P76/Q$54</f>
        <v>0</v>
      </c>
      <c r="R76" s="211"/>
      <c r="S76" s="210">
        <f>R76/S$54</f>
        <v>0</v>
      </c>
      <c r="T76" s="931"/>
      <c r="U76" s="932" t="e">
        <f>T76/U$54</f>
        <v>#DIV/0!</v>
      </c>
      <c r="V76" s="182"/>
      <c r="W76" s="811">
        <f t="shared" si="15"/>
        <v>0</v>
      </c>
      <c r="X76" s="213" t="e">
        <f t="shared" si="16"/>
        <v>#DIV/0!</v>
      </c>
    </row>
    <row r="77" spans="1:24" ht="15" customHeight="1" thickTop="1" x14ac:dyDescent="0.2">
      <c r="A77" s="462" t="s">
        <v>160</v>
      </c>
    </row>
    <row r="78" spans="1:24" x14ac:dyDescent="0.2">
      <c r="A78" s="1"/>
      <c r="H78" s="47" t="s">
        <v>19</v>
      </c>
      <c r="J78" s="47" t="s">
        <v>19</v>
      </c>
      <c r="L78" s="47" t="s">
        <v>19</v>
      </c>
      <c r="N78" s="47" t="s">
        <v>19</v>
      </c>
      <c r="P78" s="47" t="s">
        <v>19</v>
      </c>
      <c r="R78" s="47" t="s">
        <v>19</v>
      </c>
      <c r="T78" s="47" t="s">
        <v>19</v>
      </c>
    </row>
    <row r="79" spans="1:24" x14ac:dyDescent="0.2">
      <c r="A79" s="1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</sheetData>
  <mergeCells count="77">
    <mergeCell ref="N42:O42"/>
    <mergeCell ref="P42:Q42"/>
    <mergeCell ref="R42:S42"/>
    <mergeCell ref="W42:X42"/>
    <mergeCell ref="B42:C42"/>
    <mergeCell ref="D42:E42"/>
    <mergeCell ref="F42:G42"/>
    <mergeCell ref="H42:I42"/>
    <mergeCell ref="J42:K42"/>
    <mergeCell ref="L42:M42"/>
    <mergeCell ref="T42:U42"/>
    <mergeCell ref="N36:O36"/>
    <mergeCell ref="P36:Q36"/>
    <mergeCell ref="R36:S36"/>
    <mergeCell ref="W36:X36"/>
    <mergeCell ref="L36:M36"/>
    <mergeCell ref="T36:U36"/>
    <mergeCell ref="B36:C36"/>
    <mergeCell ref="D36:E36"/>
    <mergeCell ref="F36:G36"/>
    <mergeCell ref="H36:I36"/>
    <mergeCell ref="J36:K36"/>
    <mergeCell ref="L33:M33"/>
    <mergeCell ref="N33:O33"/>
    <mergeCell ref="P33:Q33"/>
    <mergeCell ref="R33:S33"/>
    <mergeCell ref="W33:X33"/>
    <mergeCell ref="T33:U33"/>
    <mergeCell ref="B33:C33"/>
    <mergeCell ref="D33:E33"/>
    <mergeCell ref="F33:G33"/>
    <mergeCell ref="H33:I33"/>
    <mergeCell ref="J33:K33"/>
    <mergeCell ref="L26:M26"/>
    <mergeCell ref="N26:O26"/>
    <mergeCell ref="P26:Q26"/>
    <mergeCell ref="R26:S26"/>
    <mergeCell ref="W26:X26"/>
    <mergeCell ref="T26:U26"/>
    <mergeCell ref="B26:C26"/>
    <mergeCell ref="D26:E26"/>
    <mergeCell ref="F26:G26"/>
    <mergeCell ref="H26:I26"/>
    <mergeCell ref="J26:K26"/>
    <mergeCell ref="L24:M24"/>
    <mergeCell ref="N24:O24"/>
    <mergeCell ref="P24:Q24"/>
    <mergeCell ref="R24:S24"/>
    <mergeCell ref="W24:X24"/>
    <mergeCell ref="T24:U24"/>
    <mergeCell ref="B24:C24"/>
    <mergeCell ref="D24:E24"/>
    <mergeCell ref="F24:G24"/>
    <mergeCell ref="H24:I24"/>
    <mergeCell ref="J24:K24"/>
    <mergeCell ref="L19:M19"/>
    <mergeCell ref="N19:O19"/>
    <mergeCell ref="P19:Q19"/>
    <mergeCell ref="R19:S19"/>
    <mergeCell ref="W19:X19"/>
    <mergeCell ref="T19:U19"/>
    <mergeCell ref="B19:C19"/>
    <mergeCell ref="D19:E19"/>
    <mergeCell ref="F19:G19"/>
    <mergeCell ref="H19:I19"/>
    <mergeCell ref="J19:K19"/>
    <mergeCell ref="N9:O9"/>
    <mergeCell ref="P9:Q9"/>
    <mergeCell ref="R9:S9"/>
    <mergeCell ref="W9:X9"/>
    <mergeCell ref="B9:C9"/>
    <mergeCell ref="D9:E9"/>
    <mergeCell ref="F9:G9"/>
    <mergeCell ref="H9:I9"/>
    <mergeCell ref="J9:K9"/>
    <mergeCell ref="L9:M9"/>
    <mergeCell ref="T9:U9"/>
  </mergeCells>
  <printOptions horizontalCentered="1"/>
  <pageMargins left="0.7" right="0.7" top="0.5" bottom="0.5" header="0.3" footer="0.3"/>
  <pageSetup scale="70" orientation="landscape" r:id="rId1"/>
  <headerFooter alignWithMargins="0">
    <oddFooter>&amp;LPrepared by Planning and Analysis&amp;C&amp;P of &amp;N&amp;RUpdated &amp;D</oddFooter>
  </headerFooter>
  <rowBreaks count="1" manualBreakCount="1">
    <brk id="40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423"/>
  <sheetViews>
    <sheetView view="pageBreakPreview" zoomScaleNormal="100" zoomScaleSheetLayoutView="100" workbookViewId="0">
      <pane xSplit="1" ySplit="1" topLeftCell="M2" activePane="bottomRight" state="frozen"/>
      <selection activeCell="W23" sqref="W23:X23"/>
      <selection pane="topRight" activeCell="W23" sqref="W23:X23"/>
      <selection pane="bottomLeft" activeCell="W23" sqref="W23:X23"/>
      <selection pane="bottomRight" activeCell="W23" sqref="W23:X23"/>
    </sheetView>
  </sheetViews>
  <sheetFormatPr defaultColWidth="10.28515625" defaultRowHeight="12.75" x14ac:dyDescent="0.2"/>
  <cols>
    <col min="1" max="1" width="3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4" ht="15.75" x14ac:dyDescent="0.25">
      <c r="A1" s="438" t="s">
        <v>148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2" spans="1:24" ht="15.75" x14ac:dyDescent="0.25">
      <c r="A2" s="438" t="s">
        <v>149</v>
      </c>
    </row>
    <row r="3" spans="1:24" x14ac:dyDescent="0.2">
      <c r="A3" s="439"/>
    </row>
    <row r="4" spans="1:24" ht="15.75" x14ac:dyDescent="0.25">
      <c r="A4" s="440" t="s">
        <v>150</v>
      </c>
    </row>
    <row r="5" spans="1:24" x14ac:dyDescent="0.2">
      <c r="A5" s="439"/>
    </row>
    <row r="6" spans="1:24" x14ac:dyDescent="0.2">
      <c r="A6" s="2" t="s">
        <v>153</v>
      </c>
      <c r="U6" s="47" t="s">
        <v>19</v>
      </c>
    </row>
    <row r="7" spans="1:24" x14ac:dyDescent="0.2">
      <c r="A7" s="441">
        <v>3670045060</v>
      </c>
    </row>
    <row r="8" spans="1:24" ht="13.5" thickBot="1" x14ac:dyDescent="0.25">
      <c r="A8" s="1"/>
    </row>
    <row r="9" spans="1:24" ht="14.25" thickTop="1" thickBot="1" x14ac:dyDescent="0.25">
      <c r="A9" s="3"/>
      <c r="B9" s="943" t="s">
        <v>0</v>
      </c>
      <c r="C9" s="940"/>
      <c r="D9" s="943" t="s">
        <v>1</v>
      </c>
      <c r="E9" s="940"/>
      <c r="F9" s="943" t="s">
        <v>2</v>
      </c>
      <c r="G9" s="940"/>
      <c r="H9" s="943" t="s">
        <v>3</v>
      </c>
      <c r="I9" s="940"/>
      <c r="J9" s="943" t="s">
        <v>4</v>
      </c>
      <c r="K9" s="940"/>
      <c r="L9" s="943" t="s">
        <v>5</v>
      </c>
      <c r="M9" s="940"/>
      <c r="N9" s="943" t="s">
        <v>6</v>
      </c>
      <c r="O9" s="940"/>
      <c r="P9" s="943" t="s">
        <v>7</v>
      </c>
      <c r="Q9" s="940"/>
      <c r="R9" s="943" t="s">
        <v>8</v>
      </c>
      <c r="S9" s="940"/>
      <c r="T9" s="943" t="s">
        <v>186</v>
      </c>
      <c r="U9" s="944"/>
      <c r="W9" s="957" t="s">
        <v>9</v>
      </c>
      <c r="X9" s="958"/>
    </row>
    <row r="10" spans="1:24" ht="30" customHeight="1" thickBot="1" x14ac:dyDescent="0.25">
      <c r="A10" s="51" t="s">
        <v>73</v>
      </c>
      <c r="B10" s="50" t="s">
        <v>14</v>
      </c>
      <c r="C10" s="50" t="s">
        <v>15</v>
      </c>
      <c r="D10" s="671" t="s">
        <v>174</v>
      </c>
      <c r="E10" s="670" t="s">
        <v>173</v>
      </c>
      <c r="F10" s="671" t="s">
        <v>174</v>
      </c>
      <c r="G10" s="670" t="s">
        <v>173</v>
      </c>
      <c r="H10" s="671" t="s">
        <v>174</v>
      </c>
      <c r="I10" s="670" t="s">
        <v>173</v>
      </c>
      <c r="J10" s="671" t="s">
        <v>174</v>
      </c>
      <c r="K10" s="670" t="s">
        <v>173</v>
      </c>
      <c r="L10" s="671" t="s">
        <v>174</v>
      </c>
      <c r="M10" s="670" t="s">
        <v>173</v>
      </c>
      <c r="N10" s="671" t="s">
        <v>174</v>
      </c>
      <c r="O10" s="670" t="s">
        <v>173</v>
      </c>
      <c r="P10" s="671" t="s">
        <v>174</v>
      </c>
      <c r="Q10" s="670" t="s">
        <v>173</v>
      </c>
      <c r="R10" s="671" t="s">
        <v>174</v>
      </c>
      <c r="S10" s="670" t="s">
        <v>173</v>
      </c>
      <c r="T10" s="671" t="s">
        <v>174</v>
      </c>
      <c r="U10" s="672" t="s">
        <v>173</v>
      </c>
      <c r="W10" s="673" t="s">
        <v>174</v>
      </c>
      <c r="X10" s="674" t="s">
        <v>173</v>
      </c>
    </row>
    <row r="11" spans="1:24" ht="15" customHeight="1" x14ac:dyDescent="0.2">
      <c r="A11" s="94" t="s">
        <v>86</v>
      </c>
      <c r="B11" s="129"/>
      <c r="C11" s="130"/>
      <c r="D11" s="11"/>
      <c r="E11" s="12"/>
      <c r="F11" s="13"/>
      <c r="G11" s="12"/>
      <c r="H11" s="13"/>
      <c r="I11" s="12"/>
      <c r="J11" s="13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5"/>
      <c r="V11" s="776"/>
      <c r="W11" s="775"/>
      <c r="X11" s="21"/>
    </row>
    <row r="12" spans="1:24" s="20" customFormat="1" ht="15" customHeight="1" x14ac:dyDescent="0.2">
      <c r="A12" s="17" t="s">
        <v>16</v>
      </c>
      <c r="B12" s="18">
        <v>86</v>
      </c>
      <c r="C12" s="262"/>
      <c r="D12" s="19">
        <v>112</v>
      </c>
      <c r="E12" s="260"/>
      <c r="F12" s="18">
        <v>121</v>
      </c>
      <c r="G12" s="260"/>
      <c r="H12" s="18">
        <v>106</v>
      </c>
      <c r="I12" s="260"/>
      <c r="J12" s="18">
        <v>105</v>
      </c>
      <c r="K12" s="260"/>
      <c r="L12" s="18">
        <v>136</v>
      </c>
      <c r="M12" s="260"/>
      <c r="N12" s="18">
        <v>155</v>
      </c>
      <c r="O12" s="260"/>
      <c r="P12" s="18">
        <v>178</v>
      </c>
      <c r="Q12" s="268"/>
      <c r="R12" s="18">
        <f>94+86+3</f>
        <v>183</v>
      </c>
      <c r="S12" s="268"/>
      <c r="T12" s="92">
        <v>183</v>
      </c>
      <c r="U12" s="266"/>
      <c r="W12" s="16">
        <f t="shared" ref="W12:W18" si="0">AVERAGE(N12,L12,R12,T12,P12)</f>
        <v>167</v>
      </c>
      <c r="X12" s="264"/>
    </row>
    <row r="13" spans="1:24" s="20" customFormat="1" ht="15" customHeight="1" thickBot="1" x14ac:dyDescent="0.25">
      <c r="A13" s="22" t="s">
        <v>17</v>
      </c>
      <c r="B13" s="24">
        <v>74</v>
      </c>
      <c r="C13" s="263"/>
      <c r="D13" s="67">
        <v>80</v>
      </c>
      <c r="E13" s="261"/>
      <c r="F13" s="24">
        <v>90</v>
      </c>
      <c r="G13" s="261"/>
      <c r="H13" s="24">
        <v>94</v>
      </c>
      <c r="I13" s="261"/>
      <c r="J13" s="102">
        <v>101</v>
      </c>
      <c r="K13" s="261"/>
      <c r="L13" s="24">
        <v>100</v>
      </c>
      <c r="M13" s="261"/>
      <c r="N13" s="24">
        <v>125</v>
      </c>
      <c r="O13" s="261"/>
      <c r="P13" s="24">
        <v>136</v>
      </c>
      <c r="Q13" s="269"/>
      <c r="R13" s="24">
        <f>68+97</f>
        <v>165</v>
      </c>
      <c r="S13" s="269"/>
      <c r="T13" s="24">
        <v>169</v>
      </c>
      <c r="U13" s="267"/>
      <c r="W13" s="105">
        <f t="shared" si="0"/>
        <v>139</v>
      </c>
      <c r="X13" s="275"/>
    </row>
    <row r="14" spans="1:24" s="53" customFormat="1" ht="15" customHeight="1" thickBot="1" x14ac:dyDescent="0.25">
      <c r="A14" s="75" t="s">
        <v>18</v>
      </c>
      <c r="B14" s="68">
        <f t="shared" ref="B14:R14" si="1">SUM(B12:B13)</f>
        <v>160</v>
      </c>
      <c r="C14" s="77">
        <v>27</v>
      </c>
      <c r="D14" s="68">
        <f t="shared" si="1"/>
        <v>192</v>
      </c>
      <c r="E14" s="77">
        <v>26</v>
      </c>
      <c r="F14" s="68">
        <f>SUM(F12:F13)</f>
        <v>211</v>
      </c>
      <c r="G14" s="77">
        <v>26</v>
      </c>
      <c r="H14" s="68">
        <f t="shared" si="1"/>
        <v>200</v>
      </c>
      <c r="I14" s="77">
        <v>28</v>
      </c>
      <c r="J14" s="68">
        <f t="shared" si="1"/>
        <v>206</v>
      </c>
      <c r="K14" s="77">
        <v>35</v>
      </c>
      <c r="L14" s="68">
        <f t="shared" si="1"/>
        <v>236</v>
      </c>
      <c r="M14" s="77">
        <v>21</v>
      </c>
      <c r="N14" s="68">
        <f>SUM(N12:N13)</f>
        <v>280</v>
      </c>
      <c r="O14" s="77">
        <v>45</v>
      </c>
      <c r="P14" s="68">
        <f t="shared" si="1"/>
        <v>314</v>
      </c>
      <c r="Q14" s="773">
        <v>31</v>
      </c>
      <c r="R14" s="774">
        <f t="shared" si="1"/>
        <v>348</v>
      </c>
      <c r="S14" s="773">
        <v>48</v>
      </c>
      <c r="T14" s="774">
        <f t="shared" ref="T14" si="2">SUM(T12:T13)</f>
        <v>352</v>
      </c>
      <c r="U14" s="825"/>
      <c r="W14" s="272">
        <f t="shared" si="0"/>
        <v>306</v>
      </c>
      <c r="X14" s="273">
        <f>AVERAGE(O14,M14,K14,S14,Q14)</f>
        <v>36</v>
      </c>
    </row>
    <row r="15" spans="1:24" s="53" customFormat="1" ht="15" customHeight="1" x14ac:dyDescent="0.2">
      <c r="A15" s="114" t="s">
        <v>20</v>
      </c>
      <c r="B15" s="145">
        <v>12</v>
      </c>
      <c r="C15" s="146">
        <f>3+1</f>
        <v>4</v>
      </c>
      <c r="D15" s="11">
        <v>18</v>
      </c>
      <c r="E15" s="147">
        <v>3</v>
      </c>
      <c r="F15" s="13">
        <v>17</v>
      </c>
      <c r="G15" s="147">
        <v>1</v>
      </c>
      <c r="H15" s="13">
        <v>11</v>
      </c>
      <c r="I15" s="147">
        <v>2</v>
      </c>
      <c r="J15" s="13">
        <v>12</v>
      </c>
      <c r="K15" s="147">
        <v>2</v>
      </c>
      <c r="L15" s="13">
        <v>11</v>
      </c>
      <c r="M15" s="147">
        <v>8</v>
      </c>
      <c r="N15" s="13">
        <v>5</v>
      </c>
      <c r="O15" s="147">
        <v>1</v>
      </c>
      <c r="P15" s="13">
        <v>13</v>
      </c>
      <c r="Q15" s="147">
        <v>3</v>
      </c>
      <c r="R15" s="13">
        <v>9</v>
      </c>
      <c r="S15" s="147">
        <v>1</v>
      </c>
      <c r="T15" s="18">
        <v>14</v>
      </c>
      <c r="U15" s="90"/>
      <c r="W15" s="270">
        <f t="shared" si="0"/>
        <v>10.4</v>
      </c>
      <c r="X15" s="271">
        <f t="shared" ref="X15:X18" si="3">AVERAGE(O15,M15,K15,S15,Q15)</f>
        <v>3</v>
      </c>
    </row>
    <row r="16" spans="1:24" s="20" customFormat="1" ht="15" customHeight="1" x14ac:dyDescent="0.2">
      <c r="A16" s="115" t="s">
        <v>87</v>
      </c>
      <c r="B16" s="145">
        <v>16</v>
      </c>
      <c r="C16" s="146">
        <v>1</v>
      </c>
      <c r="D16" s="11">
        <v>17</v>
      </c>
      <c r="E16" s="147">
        <v>3</v>
      </c>
      <c r="F16" s="13">
        <v>17</v>
      </c>
      <c r="G16" s="147">
        <v>3</v>
      </c>
      <c r="H16" s="13">
        <v>18</v>
      </c>
      <c r="I16" s="147">
        <v>4</v>
      </c>
      <c r="J16" s="13">
        <v>21</v>
      </c>
      <c r="K16" s="147">
        <v>5</v>
      </c>
      <c r="L16" s="13">
        <v>21</v>
      </c>
      <c r="M16" s="147">
        <v>3</v>
      </c>
      <c r="N16" s="13">
        <v>23</v>
      </c>
      <c r="O16" s="147">
        <v>4</v>
      </c>
      <c r="P16" s="13">
        <v>21</v>
      </c>
      <c r="Q16" s="147">
        <v>2</v>
      </c>
      <c r="R16" s="13">
        <v>24</v>
      </c>
      <c r="S16" s="147">
        <v>2</v>
      </c>
      <c r="T16" s="18">
        <v>23</v>
      </c>
      <c r="U16" s="90"/>
      <c r="W16" s="16">
        <f t="shared" si="0"/>
        <v>22.4</v>
      </c>
      <c r="X16" s="271">
        <f t="shared" si="3"/>
        <v>3.2</v>
      </c>
    </row>
    <row r="17" spans="1:24" s="20" customFormat="1" ht="15" customHeight="1" x14ac:dyDescent="0.2">
      <c r="A17" s="676" t="s">
        <v>88</v>
      </c>
      <c r="B17" s="148"/>
      <c r="C17" s="149"/>
      <c r="D17" s="11">
        <v>0</v>
      </c>
      <c r="E17" s="34">
        <v>2</v>
      </c>
      <c r="F17" s="13">
        <v>0</v>
      </c>
      <c r="G17" s="34">
        <v>3</v>
      </c>
      <c r="H17" s="13">
        <v>0</v>
      </c>
      <c r="I17" s="34">
        <v>2</v>
      </c>
      <c r="J17" s="13">
        <v>0</v>
      </c>
      <c r="K17" s="34">
        <v>0</v>
      </c>
      <c r="L17" s="13">
        <v>0</v>
      </c>
      <c r="M17" s="34">
        <v>1</v>
      </c>
      <c r="N17" s="13">
        <v>0</v>
      </c>
      <c r="O17" s="34">
        <v>0</v>
      </c>
      <c r="P17" s="13">
        <v>0</v>
      </c>
      <c r="Q17" s="34">
        <v>0</v>
      </c>
      <c r="R17" s="13">
        <v>0</v>
      </c>
      <c r="S17" s="34">
        <v>0</v>
      </c>
      <c r="T17" s="18">
        <v>0</v>
      </c>
      <c r="U17" s="90"/>
      <c r="W17" s="16">
        <f t="shared" si="0"/>
        <v>0</v>
      </c>
      <c r="X17" s="271">
        <f t="shared" si="3"/>
        <v>0.2</v>
      </c>
    </row>
    <row r="18" spans="1:24" s="20" customFormat="1" ht="15" customHeight="1" thickBot="1" x14ac:dyDescent="0.25">
      <c r="A18" s="841" t="s">
        <v>184</v>
      </c>
      <c r="B18" s="840"/>
      <c r="C18" s="150"/>
      <c r="D18" s="151"/>
      <c r="E18" s="150"/>
      <c r="F18" s="839">
        <v>0</v>
      </c>
      <c r="G18" s="153">
        <v>0</v>
      </c>
      <c r="H18" s="154">
        <v>0</v>
      </c>
      <c r="I18" s="153">
        <v>0</v>
      </c>
      <c r="J18" s="154">
        <v>0</v>
      </c>
      <c r="K18" s="153">
        <v>0</v>
      </c>
      <c r="L18" s="154">
        <v>1</v>
      </c>
      <c r="M18" s="153">
        <v>0</v>
      </c>
      <c r="N18" s="154">
        <v>4</v>
      </c>
      <c r="O18" s="153">
        <v>1</v>
      </c>
      <c r="P18" s="154">
        <v>4</v>
      </c>
      <c r="Q18" s="153">
        <v>1</v>
      </c>
      <c r="R18" s="154">
        <v>4</v>
      </c>
      <c r="S18" s="153">
        <v>1</v>
      </c>
      <c r="T18" s="133">
        <v>2</v>
      </c>
      <c r="U18" s="836"/>
      <c r="W18" s="25">
        <f t="shared" si="0"/>
        <v>3</v>
      </c>
      <c r="X18" s="271">
        <f t="shared" si="3"/>
        <v>0.6</v>
      </c>
    </row>
    <row r="19" spans="1:24" ht="18" customHeight="1" thickTop="1" thickBot="1" x14ac:dyDescent="0.25">
      <c r="A19" s="52" t="s">
        <v>68</v>
      </c>
      <c r="B19" s="979"/>
      <c r="C19" s="980"/>
      <c r="D19" s="979"/>
      <c r="E19" s="980"/>
      <c r="F19" s="979"/>
      <c r="G19" s="980"/>
      <c r="H19" s="979"/>
      <c r="I19" s="980"/>
      <c r="J19" s="979"/>
      <c r="K19" s="980"/>
      <c r="L19" s="979"/>
      <c r="M19" s="980"/>
      <c r="N19" s="979"/>
      <c r="O19" s="980"/>
      <c r="P19" s="979"/>
      <c r="Q19" s="980"/>
      <c r="R19" s="979"/>
      <c r="S19" s="980"/>
      <c r="T19" s="979"/>
      <c r="U19" s="981"/>
      <c r="W19" s="957"/>
      <c r="X19" s="958"/>
    </row>
    <row r="20" spans="1:24" ht="15" customHeight="1" x14ac:dyDescent="0.2">
      <c r="A20" s="677" t="s">
        <v>75</v>
      </c>
      <c r="B20" s="79"/>
      <c r="C20" s="82"/>
      <c r="D20" s="265"/>
      <c r="E20" s="82"/>
      <c r="F20" s="265"/>
      <c r="G20" s="82"/>
      <c r="H20" s="265"/>
      <c r="I20" s="82"/>
      <c r="J20" s="265"/>
      <c r="K20" s="82"/>
      <c r="L20" s="265"/>
      <c r="M20" s="82"/>
      <c r="N20" s="265"/>
      <c r="O20" s="82"/>
      <c r="P20" s="265"/>
      <c r="Q20" s="82"/>
      <c r="R20" s="265"/>
      <c r="S20" s="82"/>
      <c r="T20" s="265"/>
      <c r="U20" s="83"/>
      <c r="W20" s="613"/>
      <c r="X20" s="837" t="e">
        <f>AVERAGE(O20,M20,U20,S20,Q20)</f>
        <v>#DIV/0!</v>
      </c>
    </row>
    <row r="21" spans="1:24" ht="15" customHeight="1" x14ac:dyDescent="0.2">
      <c r="A21" s="569" t="s">
        <v>69</v>
      </c>
      <c r="B21" s="78"/>
      <c r="C21" s="80">
        <v>0.85</v>
      </c>
      <c r="D21" s="78"/>
      <c r="E21" s="80">
        <v>0.72</v>
      </c>
      <c r="F21" s="78"/>
      <c r="G21" s="80">
        <v>0.62</v>
      </c>
      <c r="H21" s="78"/>
      <c r="I21" s="80">
        <v>0.72</v>
      </c>
      <c r="J21" s="78"/>
      <c r="K21" s="80">
        <v>0.74</v>
      </c>
      <c r="L21" s="78"/>
      <c r="M21" s="80">
        <v>0.84</v>
      </c>
      <c r="N21" s="78"/>
      <c r="O21" s="80">
        <v>0.79</v>
      </c>
      <c r="P21" s="78"/>
      <c r="Q21" s="80">
        <v>0.77</v>
      </c>
      <c r="R21" s="78"/>
      <c r="S21" s="935"/>
      <c r="T21" s="281"/>
      <c r="U21" s="828"/>
      <c r="W21" s="643"/>
      <c r="X21" s="615">
        <f t="shared" ref="X21:X22" si="4">AVERAGE(O21,M21,K21,S21,Q21)</f>
        <v>0.78500000000000003</v>
      </c>
    </row>
    <row r="22" spans="1:24" ht="15" customHeight="1" x14ac:dyDescent="0.2">
      <c r="A22" s="463" t="s">
        <v>70</v>
      </c>
      <c r="B22" s="55"/>
      <c r="C22" s="81">
        <v>0.08</v>
      </c>
      <c r="D22" s="55"/>
      <c r="E22" s="81">
        <v>0.2</v>
      </c>
      <c r="F22" s="55"/>
      <c r="G22" s="81">
        <v>0.31</v>
      </c>
      <c r="H22" s="55"/>
      <c r="I22" s="81">
        <v>0.24</v>
      </c>
      <c r="J22" s="55"/>
      <c r="K22" s="81">
        <v>0.12</v>
      </c>
      <c r="L22" s="55"/>
      <c r="M22" s="81">
        <v>0.16</v>
      </c>
      <c r="N22" s="55"/>
      <c r="O22" s="81">
        <v>0.14000000000000001</v>
      </c>
      <c r="P22" s="55"/>
      <c r="Q22" s="81">
        <v>0.13</v>
      </c>
      <c r="R22" s="55"/>
      <c r="S22" s="936"/>
      <c r="T22" s="282"/>
      <c r="U22" s="835"/>
      <c r="W22" s="616"/>
      <c r="X22" s="838">
        <f t="shared" si="4"/>
        <v>0.13750000000000001</v>
      </c>
    </row>
    <row r="23" spans="1:24" ht="15" customHeight="1" thickBot="1" x14ac:dyDescent="0.25">
      <c r="A23" s="570" t="s">
        <v>72</v>
      </c>
      <c r="B23" s="56"/>
      <c r="C23" s="57"/>
      <c r="D23" s="56"/>
      <c r="E23" s="57"/>
      <c r="F23" s="56"/>
      <c r="G23" s="57"/>
      <c r="H23" s="56"/>
      <c r="I23" s="57"/>
      <c r="J23" s="56"/>
      <c r="K23" s="57"/>
      <c r="L23" s="56"/>
      <c r="M23" s="57"/>
      <c r="N23" s="56"/>
      <c r="O23" s="57"/>
      <c r="P23" s="56"/>
      <c r="Q23" s="57"/>
      <c r="R23" s="56"/>
      <c r="S23" s="57"/>
      <c r="T23" s="56"/>
      <c r="U23" s="58"/>
      <c r="W23" s="617"/>
      <c r="X23" s="816" t="e">
        <f>AVERAGE(O23,M23,U23,S23,Q23)</f>
        <v>#DIV/0!</v>
      </c>
    </row>
    <row r="24" spans="1:24" ht="18" customHeight="1" thickTop="1" thickBot="1" x14ac:dyDescent="0.25">
      <c r="A24" s="230" t="s">
        <v>74</v>
      </c>
      <c r="B24" s="967"/>
      <c r="C24" s="968"/>
      <c r="D24" s="967"/>
      <c r="E24" s="968"/>
      <c r="F24" s="967"/>
      <c r="G24" s="968"/>
      <c r="H24" s="967"/>
      <c r="I24" s="968"/>
      <c r="J24" s="967"/>
      <c r="K24" s="968"/>
      <c r="L24" s="967"/>
      <c r="M24" s="968"/>
      <c r="N24" s="967"/>
      <c r="O24" s="968"/>
      <c r="P24" s="967"/>
      <c r="Q24" s="968"/>
      <c r="R24" s="967"/>
      <c r="S24" s="968"/>
      <c r="T24" s="967"/>
      <c r="U24" s="962"/>
      <c r="V24" s="231"/>
      <c r="W24" s="961"/>
      <c r="X24" s="962"/>
    </row>
    <row r="25" spans="1:24" ht="15" customHeight="1" thickBot="1" x14ac:dyDescent="0.25">
      <c r="A25" s="571" t="s">
        <v>89</v>
      </c>
      <c r="B25" s="232"/>
      <c r="C25" s="233">
        <v>28.7</v>
      </c>
      <c r="D25" s="232"/>
      <c r="E25" s="233">
        <v>29.2</v>
      </c>
      <c r="F25" s="232"/>
      <c r="G25" s="233">
        <v>28.9</v>
      </c>
      <c r="H25" s="232"/>
      <c r="I25" s="233">
        <v>29.4</v>
      </c>
      <c r="J25" s="232"/>
      <c r="K25" s="233">
        <v>29</v>
      </c>
      <c r="L25" s="232"/>
      <c r="M25" s="233">
        <v>29</v>
      </c>
      <c r="N25" s="232"/>
      <c r="O25" s="233">
        <v>29.2</v>
      </c>
      <c r="P25" s="232"/>
      <c r="Q25" s="233">
        <v>28.6</v>
      </c>
      <c r="R25" s="232"/>
      <c r="S25" s="233">
        <v>29.1</v>
      </c>
      <c r="T25" s="232"/>
      <c r="U25" s="234"/>
      <c r="V25" s="231"/>
      <c r="W25" s="235"/>
      <c r="X25" s="612">
        <f>AVERAGE(O25,M25,S25,U25,Q25)</f>
        <v>28.975000000000001</v>
      </c>
    </row>
    <row r="26" spans="1:24" ht="18" customHeight="1" thickTop="1" thickBot="1" x14ac:dyDescent="0.25">
      <c r="A26" s="63" t="s">
        <v>21</v>
      </c>
      <c r="B26" s="979"/>
      <c r="C26" s="980"/>
      <c r="D26" s="979"/>
      <c r="E26" s="980"/>
      <c r="F26" s="979"/>
      <c r="G26" s="980"/>
      <c r="H26" s="979"/>
      <c r="I26" s="980"/>
      <c r="J26" s="979"/>
      <c r="K26" s="980"/>
      <c r="L26" s="979"/>
      <c r="M26" s="980"/>
      <c r="N26" s="979"/>
      <c r="O26" s="980"/>
      <c r="P26" s="979"/>
      <c r="Q26" s="980"/>
      <c r="R26" s="979"/>
      <c r="S26" s="980"/>
      <c r="T26" s="979"/>
      <c r="U26" s="981"/>
      <c r="W26" s="957"/>
      <c r="X26" s="958"/>
    </row>
    <row r="27" spans="1:24" ht="15" customHeight="1" x14ac:dyDescent="0.2">
      <c r="A27" s="463" t="s">
        <v>22</v>
      </c>
      <c r="B27" s="33"/>
      <c r="C27" s="40">
        <v>68</v>
      </c>
      <c r="D27" s="32"/>
      <c r="E27" s="39">
        <v>72</v>
      </c>
      <c r="F27" s="33"/>
      <c r="G27" s="39">
        <v>75</v>
      </c>
      <c r="H27" s="33"/>
      <c r="I27" s="39">
        <v>78</v>
      </c>
      <c r="J27" s="33"/>
      <c r="K27" s="39">
        <v>64</v>
      </c>
      <c r="L27" s="33"/>
      <c r="M27" s="39">
        <v>88</v>
      </c>
      <c r="N27" s="33"/>
      <c r="O27" s="39">
        <v>125</v>
      </c>
      <c r="P27" s="33"/>
      <c r="Q27" s="39">
        <v>112</v>
      </c>
      <c r="R27" s="33"/>
      <c r="S27" s="39">
        <v>133</v>
      </c>
      <c r="T27" s="33"/>
      <c r="U27" s="822"/>
      <c r="W27" s="36"/>
      <c r="X27" s="37">
        <f t="shared" ref="X27:X31" si="5">AVERAGE(O27,M27,K27,S27,Q27)</f>
        <v>104.4</v>
      </c>
    </row>
    <row r="28" spans="1:24" ht="15" customHeight="1" x14ac:dyDescent="0.2">
      <c r="A28" s="463" t="s">
        <v>23</v>
      </c>
      <c r="B28" s="33"/>
      <c r="C28" s="35">
        <v>1883</v>
      </c>
      <c r="D28" s="32"/>
      <c r="E28" s="34">
        <v>1825</v>
      </c>
      <c r="F28" s="33"/>
      <c r="G28" s="34">
        <v>1858</v>
      </c>
      <c r="H28" s="33"/>
      <c r="I28" s="34">
        <v>1899</v>
      </c>
      <c r="J28" s="33"/>
      <c r="K28" s="34">
        <v>2307</v>
      </c>
      <c r="L28" s="33"/>
      <c r="M28" s="34">
        <v>2317</v>
      </c>
      <c r="N28" s="33"/>
      <c r="O28" s="34">
        <v>3009</v>
      </c>
      <c r="P28" s="33"/>
      <c r="Q28" s="34">
        <v>3073</v>
      </c>
      <c r="R28" s="33"/>
      <c r="S28" s="34">
        <v>3660</v>
      </c>
      <c r="T28" s="33"/>
      <c r="U28" s="822"/>
      <c r="W28" s="38"/>
      <c r="X28" s="37">
        <f t="shared" si="5"/>
        <v>2873.2</v>
      </c>
    </row>
    <row r="29" spans="1:24" ht="15" customHeight="1" x14ac:dyDescent="0.2">
      <c r="A29" s="463" t="s">
        <v>24</v>
      </c>
      <c r="B29" s="33"/>
      <c r="C29" s="35">
        <v>208</v>
      </c>
      <c r="D29" s="32"/>
      <c r="E29" s="34">
        <v>331</v>
      </c>
      <c r="F29" s="33"/>
      <c r="G29" s="34">
        <v>193</v>
      </c>
      <c r="H29" s="33"/>
      <c r="I29" s="34">
        <v>268</v>
      </c>
      <c r="J29" s="33"/>
      <c r="K29" s="34">
        <v>353</v>
      </c>
      <c r="L29" s="33"/>
      <c r="M29" s="34">
        <v>266</v>
      </c>
      <c r="N29" s="33"/>
      <c r="O29" s="34">
        <v>196</v>
      </c>
      <c r="P29" s="33"/>
      <c r="Q29" s="34">
        <v>234</v>
      </c>
      <c r="R29" s="33"/>
      <c r="S29" s="34">
        <v>178</v>
      </c>
      <c r="T29" s="33"/>
      <c r="U29" s="822"/>
      <c r="W29" s="38"/>
      <c r="X29" s="37">
        <f t="shared" si="5"/>
        <v>245.4</v>
      </c>
    </row>
    <row r="30" spans="1:24" ht="15" customHeight="1" thickBot="1" x14ac:dyDescent="0.25">
      <c r="A30" s="610" t="s">
        <v>25</v>
      </c>
      <c r="B30" s="69"/>
      <c r="C30" s="35">
        <v>164</v>
      </c>
      <c r="D30" s="32"/>
      <c r="E30" s="34">
        <v>176</v>
      </c>
      <c r="F30" s="33"/>
      <c r="G30" s="34">
        <v>195</v>
      </c>
      <c r="H30" s="33"/>
      <c r="I30" s="34">
        <v>252</v>
      </c>
      <c r="J30" s="33"/>
      <c r="K30" s="34">
        <v>202</v>
      </c>
      <c r="L30" s="33"/>
      <c r="M30" s="34">
        <v>234</v>
      </c>
      <c r="N30" s="33"/>
      <c r="O30" s="34">
        <v>225</v>
      </c>
      <c r="P30" s="33"/>
      <c r="Q30" s="34">
        <v>261</v>
      </c>
      <c r="R30" s="33"/>
      <c r="S30" s="34">
        <v>353</v>
      </c>
      <c r="T30" s="69"/>
      <c r="U30" s="830"/>
      <c r="W30" s="45"/>
      <c r="X30" s="335">
        <f t="shared" si="5"/>
        <v>255</v>
      </c>
    </row>
    <row r="31" spans="1:24" ht="15" customHeight="1" thickBot="1" x14ac:dyDescent="0.25">
      <c r="A31" s="611" t="s">
        <v>26</v>
      </c>
      <c r="B31" s="72"/>
      <c r="C31" s="73">
        <f>SUM(C27:C30)</f>
        <v>2323</v>
      </c>
      <c r="D31" s="71"/>
      <c r="E31" s="70">
        <f>SUM(E27:E30)</f>
        <v>2404</v>
      </c>
      <c r="F31" s="72"/>
      <c r="G31" s="70">
        <f>SUM(G27:G30)</f>
        <v>2321</v>
      </c>
      <c r="H31" s="72"/>
      <c r="I31" s="70">
        <f>SUM(I27:I30)</f>
        <v>2497</v>
      </c>
      <c r="J31" s="72"/>
      <c r="K31" s="70">
        <f>SUM(K27:K30)</f>
        <v>2926</v>
      </c>
      <c r="L31" s="72"/>
      <c r="M31" s="70">
        <f>SUM(M27:M30)</f>
        <v>2905</v>
      </c>
      <c r="N31" s="72"/>
      <c r="O31" s="70">
        <f>SUM(O27:O30)</f>
        <v>3555</v>
      </c>
      <c r="P31" s="72"/>
      <c r="Q31" s="70">
        <f>SUM(Q27:Q30)</f>
        <v>3680</v>
      </c>
      <c r="R31" s="72"/>
      <c r="S31" s="70">
        <f>SUM(S27:S30)</f>
        <v>4324</v>
      </c>
      <c r="T31" s="72"/>
      <c r="U31" s="831">
        <f>SUM(U27:U30)</f>
        <v>0</v>
      </c>
      <c r="W31" s="338"/>
      <c r="X31" s="339">
        <f t="shared" si="5"/>
        <v>3478</v>
      </c>
    </row>
    <row r="32" spans="1:24" ht="15" customHeight="1" thickTop="1" thickBot="1" x14ac:dyDescent="0.25">
      <c r="A32" s="43"/>
      <c r="B32" s="59"/>
      <c r="C32" s="61"/>
      <c r="D32" s="59"/>
      <c r="E32" s="62"/>
      <c r="F32" s="59"/>
      <c r="G32" s="62"/>
      <c r="H32" s="59"/>
      <c r="I32" s="62"/>
      <c r="J32" s="59"/>
      <c r="K32" s="62"/>
      <c r="L32" s="59"/>
      <c r="M32" s="62"/>
      <c r="N32" s="59"/>
      <c r="O32" s="62"/>
      <c r="P32" s="59"/>
      <c r="Q32" s="62"/>
      <c r="R32" s="59"/>
      <c r="S32" s="62"/>
      <c r="T32" s="59"/>
      <c r="U32" s="62"/>
      <c r="V32" s="66"/>
      <c r="W32" s="65"/>
      <c r="X32" s="61"/>
    </row>
    <row r="33" spans="1:27" ht="18" customHeight="1" thickTop="1" thickBot="1" x14ac:dyDescent="0.25">
      <c r="A33" s="214" t="s">
        <v>27</v>
      </c>
      <c r="B33" s="955" t="s">
        <v>28</v>
      </c>
      <c r="C33" s="966"/>
      <c r="D33" s="955" t="s">
        <v>29</v>
      </c>
      <c r="E33" s="956"/>
      <c r="F33" s="955" t="s">
        <v>30</v>
      </c>
      <c r="G33" s="956"/>
      <c r="H33" s="955" t="s">
        <v>31</v>
      </c>
      <c r="I33" s="956"/>
      <c r="J33" s="955" t="s">
        <v>32</v>
      </c>
      <c r="K33" s="956"/>
      <c r="L33" s="955" t="s">
        <v>33</v>
      </c>
      <c r="M33" s="956"/>
      <c r="N33" s="955" t="s">
        <v>34</v>
      </c>
      <c r="O33" s="956"/>
      <c r="P33" s="955" t="s">
        <v>35</v>
      </c>
      <c r="Q33" s="956"/>
      <c r="R33" s="955" t="s">
        <v>36</v>
      </c>
      <c r="S33" s="956"/>
      <c r="T33" s="955" t="s">
        <v>187</v>
      </c>
      <c r="U33" s="963"/>
      <c r="V33" s="431"/>
      <c r="W33" s="961" t="s">
        <v>9</v>
      </c>
      <c r="X33" s="962"/>
      <c r="Y33" s="42"/>
      <c r="Z33" s="42"/>
      <c r="AA33" s="43"/>
    </row>
    <row r="34" spans="1:27" ht="15" customHeight="1" x14ac:dyDescent="0.2">
      <c r="A34" s="432" t="s">
        <v>143</v>
      </c>
      <c r="B34" s="215"/>
      <c r="C34" s="216">
        <v>0.55800000000000005</v>
      </c>
      <c r="D34" s="217"/>
      <c r="E34" s="218">
        <v>0.54200000000000004</v>
      </c>
      <c r="F34" s="219"/>
      <c r="G34" s="218">
        <v>0.57099999999999995</v>
      </c>
      <c r="H34" s="219"/>
      <c r="I34" s="218">
        <v>0.58599999999999997</v>
      </c>
      <c r="J34" s="219"/>
      <c r="K34" s="218">
        <v>0.57299999999999995</v>
      </c>
      <c r="L34" s="219"/>
      <c r="M34" s="218">
        <v>0.61599999999999999</v>
      </c>
      <c r="N34" s="219"/>
      <c r="O34" s="218">
        <v>0.65200000000000002</v>
      </c>
      <c r="P34" s="219"/>
      <c r="Q34" s="218">
        <v>0.65200000000000002</v>
      </c>
      <c r="R34" s="219"/>
      <c r="S34" s="218">
        <v>0.65300000000000002</v>
      </c>
      <c r="T34" s="219"/>
      <c r="U34" s="220">
        <v>0.67500000000000004</v>
      </c>
      <c r="V34" s="428"/>
      <c r="W34" s="221"/>
      <c r="X34" s="222">
        <f>AVERAGE(Q34,O34,M34,U34,S34)</f>
        <v>0.64959999999999996</v>
      </c>
      <c r="Y34" s="42"/>
      <c r="Z34" s="42"/>
      <c r="AA34" s="43"/>
    </row>
    <row r="35" spans="1:27" ht="15" customHeight="1" x14ac:dyDescent="0.2">
      <c r="A35" s="433" t="s">
        <v>144</v>
      </c>
      <c r="B35" s="223"/>
      <c r="C35" s="224">
        <v>0.156</v>
      </c>
      <c r="D35" s="223"/>
      <c r="E35" s="224">
        <v>0.151</v>
      </c>
      <c r="F35" s="225"/>
      <c r="G35" s="224">
        <v>0.15</v>
      </c>
      <c r="H35" s="225"/>
      <c r="I35" s="224">
        <v>0.16800000000000001</v>
      </c>
      <c r="J35" s="225"/>
      <c r="K35" s="224">
        <v>0.187</v>
      </c>
      <c r="L35" s="225"/>
      <c r="M35" s="224">
        <v>0.159</v>
      </c>
      <c r="N35" s="225"/>
      <c r="O35" s="224">
        <v>0.112</v>
      </c>
      <c r="P35" s="225"/>
      <c r="Q35" s="224">
        <v>0.11600000000000001</v>
      </c>
      <c r="R35" s="225"/>
      <c r="S35" s="224">
        <v>0.10199999999999999</v>
      </c>
      <c r="T35" s="225"/>
      <c r="U35" s="226">
        <v>0.10299999999999999</v>
      </c>
      <c r="V35" s="428"/>
      <c r="W35" s="227"/>
      <c r="X35" s="228">
        <f>AVERAGE(Q35,O35,M35,U35,S35)</f>
        <v>0.11839999999999999</v>
      </c>
      <c r="Y35" s="42"/>
      <c r="Z35" s="42"/>
      <c r="AA35" s="43"/>
    </row>
    <row r="36" spans="1:27" ht="15" customHeight="1" thickBot="1" x14ac:dyDescent="0.25">
      <c r="A36" s="229" t="s">
        <v>147</v>
      </c>
      <c r="B36" s="973">
        <f>1-C34-C35</f>
        <v>0.28599999999999992</v>
      </c>
      <c r="C36" s="970"/>
      <c r="D36" s="973">
        <f>1-E34-E35</f>
        <v>0.30699999999999994</v>
      </c>
      <c r="E36" s="970"/>
      <c r="F36" s="973">
        <f>1-G34-G35</f>
        <v>0.27900000000000003</v>
      </c>
      <c r="G36" s="970"/>
      <c r="H36" s="973">
        <f>1-I34-I35</f>
        <v>0.24600000000000002</v>
      </c>
      <c r="I36" s="970"/>
      <c r="J36" s="973">
        <f>1-K34-K35</f>
        <v>0.24000000000000005</v>
      </c>
      <c r="K36" s="970"/>
      <c r="L36" s="973">
        <f>1-M34-M35</f>
        <v>0.22500000000000001</v>
      </c>
      <c r="M36" s="970"/>
      <c r="N36" s="973">
        <f>1-O34-O35</f>
        <v>0.23599999999999999</v>
      </c>
      <c r="O36" s="970"/>
      <c r="P36" s="973">
        <f>1-Q34-Q35</f>
        <v>0.23199999999999998</v>
      </c>
      <c r="Q36" s="970"/>
      <c r="R36" s="973">
        <f>1-S34-S35</f>
        <v>0.245</v>
      </c>
      <c r="S36" s="970"/>
      <c r="T36" s="973">
        <f>1-U34-U35</f>
        <v>0.22199999999999998</v>
      </c>
      <c r="U36" s="972"/>
      <c r="V36" s="428"/>
      <c r="W36" s="971">
        <f>AVERAGE(P36,N36,L36,T36,R36)</f>
        <v>0.23199999999999998</v>
      </c>
      <c r="X36" s="972" t="e">
        <f>AVERAGE(Q36,O36,M36,U36,S36)</f>
        <v>#DIV/0!</v>
      </c>
      <c r="Y36" s="44"/>
      <c r="Z36" s="42"/>
      <c r="AA36" s="43"/>
    </row>
    <row r="37" spans="1:27" s="2" customFormat="1" ht="18" customHeight="1" thickTop="1" thickBot="1" x14ac:dyDescent="0.25">
      <c r="A37" s="181" t="s">
        <v>65</v>
      </c>
      <c r="B37" s="237" t="s">
        <v>37</v>
      </c>
      <c r="C37" s="238" t="s">
        <v>71</v>
      </c>
      <c r="D37" s="608" t="s">
        <v>37</v>
      </c>
      <c r="E37" s="609" t="s">
        <v>71</v>
      </c>
      <c r="F37" s="608" t="s">
        <v>37</v>
      </c>
      <c r="G37" s="609" t="s">
        <v>71</v>
      </c>
      <c r="H37" s="608" t="s">
        <v>37</v>
      </c>
      <c r="I37" s="609" t="s">
        <v>71</v>
      </c>
      <c r="J37" s="608" t="s">
        <v>37</v>
      </c>
      <c r="K37" s="609" t="s">
        <v>71</v>
      </c>
      <c r="L37" s="608" t="s">
        <v>37</v>
      </c>
      <c r="M37" s="609" t="s">
        <v>71</v>
      </c>
      <c r="N37" s="608" t="s">
        <v>37</v>
      </c>
      <c r="O37" s="609" t="s">
        <v>71</v>
      </c>
      <c r="P37" s="608" t="s">
        <v>37</v>
      </c>
      <c r="Q37" s="609" t="s">
        <v>71</v>
      </c>
      <c r="R37" s="608" t="s">
        <v>37</v>
      </c>
      <c r="S37" s="609" t="s">
        <v>71</v>
      </c>
      <c r="T37" s="608" t="s">
        <v>37</v>
      </c>
      <c r="U37" s="607" t="s">
        <v>71</v>
      </c>
      <c r="V37" s="240"/>
      <c r="W37" s="606" t="s">
        <v>37</v>
      </c>
      <c r="X37" s="607" t="s">
        <v>71</v>
      </c>
    </row>
    <row r="38" spans="1:27" ht="15" customHeight="1" x14ac:dyDescent="0.2">
      <c r="A38" s="243" t="s">
        <v>66</v>
      </c>
      <c r="B38" s="244"/>
      <c r="C38" s="245">
        <f>B38/B15</f>
        <v>0</v>
      </c>
      <c r="D38" s="791"/>
      <c r="E38" s="245">
        <f>D38/D15</f>
        <v>0</v>
      </c>
      <c r="F38" s="791"/>
      <c r="G38" s="871"/>
      <c r="H38" s="244">
        <v>2</v>
      </c>
      <c r="I38" s="245">
        <f>H38/H15</f>
        <v>0.18181818181818182</v>
      </c>
      <c r="J38" s="244">
        <v>2</v>
      </c>
      <c r="K38" s="245">
        <f>J38/J15</f>
        <v>0.16666666666666666</v>
      </c>
      <c r="L38" s="244">
        <v>3</v>
      </c>
      <c r="M38" s="245">
        <f>L38/L15</f>
        <v>0.27272727272727271</v>
      </c>
      <c r="N38" s="244">
        <v>1</v>
      </c>
      <c r="O38" s="245">
        <f>N38/N15</f>
        <v>0.2</v>
      </c>
      <c r="P38" s="244">
        <v>1</v>
      </c>
      <c r="Q38" s="245">
        <f>P38/P15</f>
        <v>7.6923076923076927E-2</v>
      </c>
      <c r="R38" s="244">
        <v>1</v>
      </c>
      <c r="S38" s="245">
        <f>R38/R15</f>
        <v>0.1111111111111111</v>
      </c>
      <c r="T38" s="244"/>
      <c r="U38" s="418">
        <f>T38/T15</f>
        <v>0</v>
      </c>
      <c r="V38" s="231"/>
      <c r="W38" s="604">
        <f>AVERAGE(N38,L38,R38,T38,P38)</f>
        <v>1.5</v>
      </c>
      <c r="X38" s="605">
        <f>AVERAGE(O38,M38,S38,U38,Q38)</f>
        <v>0.13215229215229213</v>
      </c>
    </row>
    <row r="39" spans="1:27" ht="15" customHeight="1" thickBot="1" x14ac:dyDescent="0.25">
      <c r="A39" s="248" t="s">
        <v>67</v>
      </c>
      <c r="B39" s="249"/>
      <c r="C39" s="250">
        <f>B39/B16</f>
        <v>0</v>
      </c>
      <c r="D39" s="792"/>
      <c r="E39" s="250">
        <f>D39/D16</f>
        <v>0</v>
      </c>
      <c r="F39" s="792"/>
      <c r="G39" s="872"/>
      <c r="H39" s="249">
        <v>17</v>
      </c>
      <c r="I39" s="250">
        <f>H39/H16</f>
        <v>0.94444444444444442</v>
      </c>
      <c r="J39" s="249">
        <v>18</v>
      </c>
      <c r="K39" s="250">
        <f>J39/J16</f>
        <v>0.8571428571428571</v>
      </c>
      <c r="L39" s="249">
        <v>19</v>
      </c>
      <c r="M39" s="250">
        <f>L39/L16</f>
        <v>0.90476190476190477</v>
      </c>
      <c r="N39" s="249">
        <v>16</v>
      </c>
      <c r="O39" s="250">
        <f>N39/N16</f>
        <v>0.69565217391304346</v>
      </c>
      <c r="P39" s="249">
        <v>14</v>
      </c>
      <c r="Q39" s="250">
        <f>P39/P16</f>
        <v>0.66666666666666663</v>
      </c>
      <c r="R39" s="249">
        <v>20</v>
      </c>
      <c r="S39" s="250">
        <f>R39/R16</f>
        <v>0.83333333333333337</v>
      </c>
      <c r="T39" s="249"/>
      <c r="U39" s="251">
        <f>T39/T16</f>
        <v>0</v>
      </c>
      <c r="V39" s="231"/>
      <c r="W39" s="252">
        <f>AVERAGE(N39,L39,R39,T39,P39)</f>
        <v>17.25</v>
      </c>
      <c r="X39" s="253">
        <f>AVERAGE(O39,M39,S39,U39,Q39)</f>
        <v>0.62008281573498958</v>
      </c>
    </row>
    <row r="40" spans="1:27" ht="15" customHeight="1" thickTop="1" x14ac:dyDescent="0.2">
      <c r="A40" s="27" t="s">
        <v>175</v>
      </c>
      <c r="B40" s="28"/>
      <c r="C40" s="29"/>
      <c r="D40" s="28"/>
      <c r="E40" s="29"/>
      <c r="F40" s="28"/>
      <c r="G40" s="29"/>
      <c r="H40" s="28"/>
      <c r="I40" s="29"/>
      <c r="J40" s="28"/>
      <c r="K40" s="29"/>
      <c r="L40" s="28"/>
      <c r="M40" s="29"/>
      <c r="N40" s="28"/>
      <c r="O40" s="29"/>
      <c r="P40" s="28"/>
      <c r="Q40" s="29"/>
      <c r="R40" s="28"/>
      <c r="S40" s="29"/>
      <c r="T40" s="28"/>
      <c r="U40" s="29"/>
      <c r="V40" s="66"/>
      <c r="W40" s="30"/>
      <c r="X40" s="31"/>
    </row>
    <row r="41" spans="1:27" s="1" customFormat="1" ht="15" customHeight="1" thickBot="1" x14ac:dyDescent="0.25">
      <c r="A41" s="310"/>
      <c r="B41" s="311"/>
      <c r="C41" s="429"/>
      <c r="D41" s="311"/>
      <c r="E41" s="429"/>
      <c r="F41" s="311"/>
      <c r="G41" s="429"/>
      <c r="H41" s="311"/>
      <c r="I41" s="429"/>
      <c r="J41" s="311"/>
      <c r="K41" s="429"/>
      <c r="L41" s="311"/>
      <c r="M41" s="429"/>
      <c r="N41" s="311"/>
      <c r="O41" s="429"/>
      <c r="P41" s="311"/>
      <c r="Q41" s="429"/>
      <c r="R41" s="311"/>
      <c r="S41" s="429"/>
      <c r="T41" s="311"/>
      <c r="U41" s="429"/>
      <c r="V41" s="182"/>
      <c r="W41" s="182"/>
      <c r="X41" s="430"/>
    </row>
    <row r="42" spans="1:27" s="1" customFormat="1" ht="18.75" customHeight="1" thickTop="1" thickBot="1" x14ac:dyDescent="0.25">
      <c r="A42" s="214" t="s">
        <v>161</v>
      </c>
      <c r="B42" s="955" t="s">
        <v>28</v>
      </c>
      <c r="C42" s="966"/>
      <c r="D42" s="955" t="s">
        <v>29</v>
      </c>
      <c r="E42" s="956"/>
      <c r="F42" s="955" t="s">
        <v>30</v>
      </c>
      <c r="G42" s="956"/>
      <c r="H42" s="955" t="s">
        <v>31</v>
      </c>
      <c r="I42" s="956"/>
      <c r="J42" s="955" t="s">
        <v>32</v>
      </c>
      <c r="K42" s="956"/>
      <c r="L42" s="955" t="s">
        <v>33</v>
      </c>
      <c r="M42" s="956"/>
      <c r="N42" s="955" t="s">
        <v>34</v>
      </c>
      <c r="O42" s="956"/>
      <c r="P42" s="955" t="s">
        <v>35</v>
      </c>
      <c r="Q42" s="956"/>
      <c r="R42" s="955" t="s">
        <v>36</v>
      </c>
      <c r="S42" s="956"/>
      <c r="T42" s="955" t="s">
        <v>187</v>
      </c>
      <c r="U42" s="963"/>
      <c r="V42" s="182"/>
      <c r="W42" s="961" t="s">
        <v>9</v>
      </c>
      <c r="X42" s="962"/>
    </row>
    <row r="43" spans="1:27" s="1" customFormat="1" ht="24" x14ac:dyDescent="0.2">
      <c r="A43" s="504" t="s">
        <v>167</v>
      </c>
      <c r="B43" s="505"/>
      <c r="C43" s="506"/>
      <c r="D43" s="505"/>
      <c r="E43" s="507"/>
      <c r="F43" s="505"/>
      <c r="G43" s="507"/>
      <c r="H43" s="505"/>
      <c r="I43" s="507"/>
      <c r="J43" s="505"/>
      <c r="K43" s="507"/>
      <c r="L43" s="505"/>
      <c r="M43" s="507"/>
      <c r="N43" s="505"/>
      <c r="O43" s="507"/>
      <c r="P43" s="505"/>
      <c r="Q43" s="507"/>
      <c r="R43" s="505"/>
      <c r="S43" s="507"/>
      <c r="T43" s="505"/>
      <c r="U43" s="508"/>
      <c r="V43" s="509"/>
      <c r="W43" s="812"/>
      <c r="X43" s="813"/>
    </row>
    <row r="44" spans="1:27" s="1" customFormat="1" ht="24" x14ac:dyDescent="0.2">
      <c r="A44" s="534" t="s">
        <v>140</v>
      </c>
      <c r="B44" s="225"/>
      <c r="C44" s="421">
        <v>7</v>
      </c>
      <c r="D44" s="225"/>
      <c r="E44" s="421">
        <v>8</v>
      </c>
      <c r="F44" s="225"/>
      <c r="G44" s="421">
        <v>8</v>
      </c>
      <c r="H44" s="225"/>
      <c r="I44" s="421">
        <v>7</v>
      </c>
      <c r="J44" s="225"/>
      <c r="K44" s="421">
        <v>8</v>
      </c>
      <c r="L44" s="225"/>
      <c r="M44" s="421">
        <v>8</v>
      </c>
      <c r="N44" s="225"/>
      <c r="O44" s="421">
        <v>10</v>
      </c>
      <c r="P44" s="225"/>
      <c r="Q44" s="421">
        <v>9</v>
      </c>
      <c r="R44" s="225"/>
      <c r="S44" s="421">
        <v>9</v>
      </c>
      <c r="T44" s="422"/>
      <c r="U44" s="297"/>
      <c r="V44" s="182"/>
      <c r="W44" s="573"/>
      <c r="X44" s="297">
        <f>AVERAGE(O44,M44,S44,U44,Q44)</f>
        <v>9</v>
      </c>
    </row>
    <row r="45" spans="1:27" s="1" customFormat="1" ht="24" x14ac:dyDescent="0.2">
      <c r="A45" s="534" t="s">
        <v>142</v>
      </c>
      <c r="B45" s="422"/>
      <c r="C45" s="515">
        <v>7</v>
      </c>
      <c r="D45" s="422"/>
      <c r="E45" s="515">
        <v>8</v>
      </c>
      <c r="F45" s="422"/>
      <c r="G45" s="515">
        <v>8</v>
      </c>
      <c r="H45" s="422"/>
      <c r="I45" s="515">
        <v>7</v>
      </c>
      <c r="J45" s="422"/>
      <c r="K45" s="515">
        <v>8</v>
      </c>
      <c r="L45" s="422"/>
      <c r="M45" s="515">
        <v>8</v>
      </c>
      <c r="N45" s="422"/>
      <c r="O45" s="515">
        <v>10</v>
      </c>
      <c r="P45" s="422"/>
      <c r="Q45" s="515">
        <v>9</v>
      </c>
      <c r="R45" s="422"/>
      <c r="S45" s="515">
        <v>9</v>
      </c>
      <c r="T45" s="422"/>
      <c r="U45" s="297"/>
      <c r="V45" s="182"/>
      <c r="W45" s="574"/>
      <c r="X45" s="575">
        <f>AVERAGE(O45,M45,S45,U45,Q45)</f>
        <v>9</v>
      </c>
    </row>
    <row r="46" spans="1:27" s="1" customFormat="1" ht="15" customHeight="1" thickBot="1" x14ac:dyDescent="0.25">
      <c r="A46" s="626" t="s">
        <v>141</v>
      </c>
      <c r="B46" s="618"/>
      <c r="C46" s="619">
        <v>5.3</v>
      </c>
      <c r="D46" s="618"/>
      <c r="E46" s="619">
        <f>5.7+0.4</f>
        <v>6.1000000000000005</v>
      </c>
      <c r="F46" s="618"/>
      <c r="G46" s="619">
        <v>5.45</v>
      </c>
      <c r="H46" s="618"/>
      <c r="I46" s="619">
        <v>5</v>
      </c>
      <c r="J46" s="618"/>
      <c r="K46" s="619">
        <v>5.25</v>
      </c>
      <c r="L46" s="618"/>
      <c r="M46" s="619">
        <v>5.2</v>
      </c>
      <c r="N46" s="618"/>
      <c r="O46" s="619">
        <v>7.2</v>
      </c>
      <c r="P46" s="618"/>
      <c r="Q46" s="619">
        <v>6.9</v>
      </c>
      <c r="R46" s="618"/>
      <c r="S46" s="619">
        <v>7.13</v>
      </c>
      <c r="T46" s="620"/>
      <c r="U46" s="621"/>
      <c r="V46" s="182"/>
      <c r="W46" s="814"/>
      <c r="X46" s="815">
        <f>AVERAGE(O46,M46,S46,U46,Q46)</f>
        <v>6.6074999999999999</v>
      </c>
    </row>
    <row r="47" spans="1:27" s="1" customFormat="1" ht="18" customHeight="1" thickBot="1" x14ac:dyDescent="0.25">
      <c r="A47" s="488" t="s">
        <v>172</v>
      </c>
      <c r="B47" s="587" t="s">
        <v>38</v>
      </c>
      <c r="C47" s="588" t="s">
        <v>39</v>
      </c>
      <c r="D47" s="622" t="s">
        <v>38</v>
      </c>
      <c r="E47" s="623" t="s">
        <v>39</v>
      </c>
      <c r="F47" s="622" t="s">
        <v>38</v>
      </c>
      <c r="G47" s="623" t="s">
        <v>39</v>
      </c>
      <c r="H47" s="622" t="s">
        <v>38</v>
      </c>
      <c r="I47" s="623" t="s">
        <v>39</v>
      </c>
      <c r="J47" s="622" t="s">
        <v>38</v>
      </c>
      <c r="K47" s="623" t="s">
        <v>39</v>
      </c>
      <c r="L47" s="622" t="s">
        <v>38</v>
      </c>
      <c r="M47" s="623" t="s">
        <v>39</v>
      </c>
      <c r="N47" s="622" t="s">
        <v>38</v>
      </c>
      <c r="O47" s="623" t="s">
        <v>39</v>
      </c>
      <c r="P47" s="622" t="s">
        <v>38</v>
      </c>
      <c r="Q47" s="623" t="s">
        <v>39</v>
      </c>
      <c r="R47" s="622" t="s">
        <v>38</v>
      </c>
      <c r="S47" s="623" t="s">
        <v>39</v>
      </c>
      <c r="T47" s="622" t="s">
        <v>38</v>
      </c>
      <c r="U47" s="624" t="s">
        <v>39</v>
      </c>
      <c r="W47" s="590" t="s">
        <v>38</v>
      </c>
      <c r="X47" s="483" t="s">
        <v>188</v>
      </c>
    </row>
    <row r="48" spans="1:27" s="1" customFormat="1" ht="15" customHeight="1" x14ac:dyDescent="0.2">
      <c r="A48" s="489" t="s">
        <v>40</v>
      </c>
      <c r="B48" s="363"/>
      <c r="C48" s="168"/>
      <c r="D48" s="141"/>
      <c r="E48" s="585"/>
      <c r="F48" s="142"/>
      <c r="G48" s="585"/>
      <c r="H48" s="142"/>
      <c r="I48" s="585"/>
      <c r="J48" s="142"/>
      <c r="K48" s="585"/>
      <c r="L48" s="142"/>
      <c r="M48" s="585"/>
      <c r="N48" s="142"/>
      <c r="O48" s="585"/>
      <c r="P48" s="142"/>
      <c r="Q48" s="585"/>
      <c r="R48" s="142"/>
      <c r="S48" s="585"/>
      <c r="T48" s="142"/>
      <c r="U48" s="586"/>
      <c r="W48" s="566"/>
      <c r="X48" s="806"/>
    </row>
    <row r="49" spans="1:24" s="1" customFormat="1" ht="15" customHeight="1" x14ac:dyDescent="0.2">
      <c r="A49" s="464" t="s">
        <v>41</v>
      </c>
      <c r="B49" s="426"/>
      <c r="C49" s="35">
        <v>7</v>
      </c>
      <c r="D49" s="128"/>
      <c r="E49" s="147">
        <v>8</v>
      </c>
      <c r="F49" s="128"/>
      <c r="G49" s="147">
        <v>9</v>
      </c>
      <c r="H49" s="128"/>
      <c r="I49" s="147">
        <v>7</v>
      </c>
      <c r="J49" s="572">
        <v>9</v>
      </c>
      <c r="K49" s="147">
        <v>9</v>
      </c>
      <c r="L49" s="572">
        <v>9</v>
      </c>
      <c r="M49" s="147">
        <v>9</v>
      </c>
      <c r="N49" s="572">
        <v>10</v>
      </c>
      <c r="O49" s="147">
        <v>10</v>
      </c>
      <c r="P49" s="572">
        <v>10</v>
      </c>
      <c r="Q49" s="147">
        <v>10</v>
      </c>
      <c r="R49" s="572">
        <v>10</v>
      </c>
      <c r="S49" s="147">
        <v>10</v>
      </c>
      <c r="T49" s="572"/>
      <c r="U49" s="458"/>
      <c r="W49" s="807">
        <f>AVERAGE(N49,L49,R49,T49,P49)</f>
        <v>9.75</v>
      </c>
      <c r="X49" s="808">
        <f>AVERAGE(O49,M49,S49,U49,Q49)</f>
        <v>9.75</v>
      </c>
    </row>
    <row r="50" spans="1:24" s="1" customFormat="1" ht="15" customHeight="1" x14ac:dyDescent="0.2">
      <c r="A50" s="464" t="s">
        <v>42</v>
      </c>
      <c r="B50" s="426"/>
      <c r="C50" s="35">
        <v>2</v>
      </c>
      <c r="D50" s="128"/>
      <c r="E50" s="147">
        <v>1</v>
      </c>
      <c r="F50" s="128"/>
      <c r="G50" s="147">
        <v>1</v>
      </c>
      <c r="H50" s="128"/>
      <c r="I50" s="147">
        <v>0</v>
      </c>
      <c r="J50" s="572">
        <v>0</v>
      </c>
      <c r="K50" s="147">
        <v>0</v>
      </c>
      <c r="L50" s="572">
        <v>0</v>
      </c>
      <c r="M50" s="147">
        <v>0</v>
      </c>
      <c r="N50" s="572">
        <v>0</v>
      </c>
      <c r="O50" s="147">
        <v>0</v>
      </c>
      <c r="P50" s="572">
        <v>0</v>
      </c>
      <c r="Q50" s="147">
        <v>0</v>
      </c>
      <c r="R50" s="572">
        <v>0.5</v>
      </c>
      <c r="S50" s="147">
        <v>1</v>
      </c>
      <c r="T50" s="13"/>
      <c r="U50" s="458"/>
      <c r="W50" s="807">
        <f t="shared" ref="W50:X53" si="6">AVERAGE(N50,L50,R50,T50,P50)</f>
        <v>0.125</v>
      </c>
      <c r="X50" s="808">
        <f t="shared" si="6"/>
        <v>0.25</v>
      </c>
    </row>
    <row r="51" spans="1:24" s="1" customFormat="1" ht="15" customHeight="1" x14ac:dyDescent="0.2">
      <c r="A51" s="466" t="s">
        <v>43</v>
      </c>
      <c r="B51" s="33"/>
      <c r="C51" s="40"/>
      <c r="D51" s="11"/>
      <c r="E51" s="455"/>
      <c r="F51" s="13"/>
      <c r="G51" s="455"/>
      <c r="H51" s="13"/>
      <c r="I51" s="455"/>
      <c r="J51" s="13"/>
      <c r="K51" s="455"/>
      <c r="L51" s="572"/>
      <c r="M51" s="455"/>
      <c r="N51" s="572"/>
      <c r="O51" s="455"/>
      <c r="P51" s="572"/>
      <c r="Q51" s="455"/>
      <c r="R51" s="572"/>
      <c r="S51" s="455"/>
      <c r="T51" s="13"/>
      <c r="U51" s="459"/>
      <c r="W51" s="807"/>
      <c r="X51" s="808"/>
    </row>
    <row r="52" spans="1:24" s="1" customFormat="1" ht="15" customHeight="1" x14ac:dyDescent="0.2">
      <c r="A52" s="464" t="s">
        <v>41</v>
      </c>
      <c r="B52" s="426"/>
      <c r="C52" s="40">
        <v>1</v>
      </c>
      <c r="D52" s="128"/>
      <c r="E52" s="455">
        <v>1</v>
      </c>
      <c r="F52" s="128"/>
      <c r="G52" s="455">
        <v>0</v>
      </c>
      <c r="H52" s="128"/>
      <c r="I52" s="455">
        <v>1</v>
      </c>
      <c r="J52" s="572">
        <v>0</v>
      </c>
      <c r="K52" s="455">
        <v>0</v>
      </c>
      <c r="L52" s="572">
        <v>0</v>
      </c>
      <c r="M52" s="455">
        <v>0</v>
      </c>
      <c r="N52" s="572">
        <v>1</v>
      </c>
      <c r="O52" s="455">
        <v>1</v>
      </c>
      <c r="P52" s="572">
        <v>0</v>
      </c>
      <c r="Q52" s="455">
        <v>0</v>
      </c>
      <c r="R52" s="572">
        <v>0</v>
      </c>
      <c r="S52" s="455">
        <v>0</v>
      </c>
      <c r="T52" s="572"/>
      <c r="U52" s="459"/>
      <c r="W52" s="807">
        <f t="shared" si="6"/>
        <v>0.25</v>
      </c>
      <c r="X52" s="808">
        <f t="shared" si="6"/>
        <v>0.25</v>
      </c>
    </row>
    <row r="53" spans="1:24" s="1" customFormat="1" ht="15" customHeight="1" thickBot="1" x14ac:dyDescent="0.25">
      <c r="A53" s="465" t="s">
        <v>42</v>
      </c>
      <c r="B53" s="467"/>
      <c r="C53" s="468">
        <v>2</v>
      </c>
      <c r="D53" s="469"/>
      <c r="E53" s="470">
        <v>2</v>
      </c>
      <c r="F53" s="469"/>
      <c r="G53" s="470">
        <v>2</v>
      </c>
      <c r="H53" s="469"/>
      <c r="I53" s="470">
        <v>2</v>
      </c>
      <c r="J53" s="625">
        <v>0.6</v>
      </c>
      <c r="K53" s="470">
        <v>2</v>
      </c>
      <c r="L53" s="625">
        <v>0.6</v>
      </c>
      <c r="M53" s="470">
        <v>2</v>
      </c>
      <c r="N53" s="625">
        <v>0.6</v>
      </c>
      <c r="O53" s="470">
        <v>2</v>
      </c>
      <c r="P53" s="625">
        <v>0.1</v>
      </c>
      <c r="Q53" s="470">
        <v>1</v>
      </c>
      <c r="R53" s="625">
        <v>0</v>
      </c>
      <c r="S53" s="470">
        <v>0</v>
      </c>
      <c r="T53" s="591"/>
      <c r="U53" s="472"/>
      <c r="W53" s="807">
        <f t="shared" si="6"/>
        <v>0.32500000000000001</v>
      </c>
      <c r="X53" s="808">
        <f t="shared" si="6"/>
        <v>1.25</v>
      </c>
    </row>
    <row r="54" spans="1:24" s="1" customFormat="1" ht="15" customHeight="1" thickBot="1" x14ac:dyDescent="0.25">
      <c r="A54" s="473" t="s">
        <v>26</v>
      </c>
      <c r="B54" s="595"/>
      <c r="C54" s="596">
        <f>SUM(C49:C53)</f>
        <v>12</v>
      </c>
      <c r="D54" s="475"/>
      <c r="E54" s="478">
        <f>SUM(E49:E53)</f>
        <v>12</v>
      </c>
      <c r="F54" s="597"/>
      <c r="G54" s="478">
        <f>SUM(G49:G53)</f>
        <v>12</v>
      </c>
      <c r="H54" s="598"/>
      <c r="I54" s="478">
        <f>SUM(I49:I53)</f>
        <v>10</v>
      </c>
      <c r="J54" s="598">
        <f t="shared" ref="J54:S54" si="7">SUM(J49:J53)</f>
        <v>9.6</v>
      </c>
      <c r="K54" s="478">
        <f t="shared" si="7"/>
        <v>11</v>
      </c>
      <c r="L54" s="598">
        <f t="shared" si="7"/>
        <v>9.6</v>
      </c>
      <c r="M54" s="478">
        <f t="shared" si="7"/>
        <v>11</v>
      </c>
      <c r="N54" s="598">
        <f t="shared" si="7"/>
        <v>11.6</v>
      </c>
      <c r="O54" s="478">
        <f t="shared" si="7"/>
        <v>13</v>
      </c>
      <c r="P54" s="598">
        <f t="shared" si="7"/>
        <v>10.1</v>
      </c>
      <c r="Q54" s="478">
        <f t="shared" si="7"/>
        <v>11</v>
      </c>
      <c r="R54" s="598">
        <f t="shared" si="7"/>
        <v>10.5</v>
      </c>
      <c r="S54" s="478">
        <f t="shared" si="7"/>
        <v>11</v>
      </c>
      <c r="T54" s="598">
        <f t="shared" ref="T54:U54" si="8">SUM(T49:T53)</f>
        <v>0</v>
      </c>
      <c r="U54" s="479">
        <f t="shared" si="8"/>
        <v>0</v>
      </c>
      <c r="W54" s="809">
        <f>AVERAGE(N54,L54,R54,T54,P54)</f>
        <v>8.36</v>
      </c>
      <c r="X54" s="810">
        <f>AVERAGE(O54,M54,S54,U54,Q54)</f>
        <v>9.1999999999999993</v>
      </c>
    </row>
    <row r="55" spans="1:24" s="1" customFormat="1" ht="18" customHeight="1" thickBot="1" x14ac:dyDescent="0.25">
      <c r="A55" s="532" t="s">
        <v>171</v>
      </c>
      <c r="B55" s="539" t="s">
        <v>37</v>
      </c>
      <c r="C55" s="540" t="s">
        <v>44</v>
      </c>
      <c r="D55" s="539" t="s">
        <v>37</v>
      </c>
      <c r="E55" s="541" t="s">
        <v>44</v>
      </c>
      <c r="F55" s="542" t="s">
        <v>37</v>
      </c>
      <c r="G55" s="541" t="s">
        <v>44</v>
      </c>
      <c r="H55" s="542" t="s">
        <v>37</v>
      </c>
      <c r="I55" s="541" t="s">
        <v>44</v>
      </c>
      <c r="J55" s="542" t="s">
        <v>37</v>
      </c>
      <c r="K55" s="541" t="s">
        <v>44</v>
      </c>
      <c r="L55" s="542" t="s">
        <v>37</v>
      </c>
      <c r="M55" s="541" t="s">
        <v>44</v>
      </c>
      <c r="N55" s="542" t="s">
        <v>37</v>
      </c>
      <c r="O55" s="541" t="s">
        <v>44</v>
      </c>
      <c r="P55" s="542" t="s">
        <v>37</v>
      </c>
      <c r="Q55" s="541" t="s">
        <v>44</v>
      </c>
      <c r="R55" s="542" t="s">
        <v>37</v>
      </c>
      <c r="S55" s="541" t="s">
        <v>44</v>
      </c>
      <c r="T55" s="542" t="s">
        <v>37</v>
      </c>
      <c r="U55" s="543" t="s">
        <v>44</v>
      </c>
      <c r="V55" s="182"/>
      <c r="W55" s="482" t="s">
        <v>37</v>
      </c>
      <c r="X55" s="543" t="s">
        <v>44</v>
      </c>
    </row>
    <row r="56" spans="1:24" s="1" customFormat="1" ht="18" customHeight="1" x14ac:dyDescent="0.2">
      <c r="A56" s="530" t="s">
        <v>164</v>
      </c>
      <c r="B56" s="528"/>
      <c r="C56" s="183"/>
      <c r="D56" s="528"/>
      <c r="E56" s="184"/>
      <c r="F56" s="529"/>
      <c r="G56" s="184"/>
      <c r="H56" s="529"/>
      <c r="I56" s="184"/>
      <c r="J56" s="529"/>
      <c r="K56" s="184"/>
      <c r="L56" s="529"/>
      <c r="M56" s="184"/>
      <c r="N56" s="529"/>
      <c r="O56" s="184"/>
      <c r="P56" s="529"/>
      <c r="Q56" s="184"/>
      <c r="R56" s="529"/>
      <c r="S56" s="184"/>
      <c r="T56" s="529"/>
      <c r="U56" s="185"/>
      <c r="V56" s="182"/>
      <c r="W56" s="480"/>
      <c r="X56" s="602"/>
    </row>
    <row r="57" spans="1:24" s="1" customFormat="1" ht="15" customHeight="1" x14ac:dyDescent="0.2">
      <c r="A57" s="186" t="s">
        <v>45</v>
      </c>
      <c r="B57" s="187">
        <v>10</v>
      </c>
      <c r="C57" s="188">
        <f t="shared" ref="C57:C62" si="9">B57/C$54</f>
        <v>0.83333333333333337</v>
      </c>
      <c r="D57" s="187">
        <v>10</v>
      </c>
      <c r="E57" s="189">
        <f t="shared" ref="E57:E62" si="10">D57/E$54</f>
        <v>0.83333333333333337</v>
      </c>
      <c r="F57" s="190">
        <v>9</v>
      </c>
      <c r="G57" s="189">
        <f t="shared" ref="G57:G62" si="11">F57/G$54</f>
        <v>0.75</v>
      </c>
      <c r="H57" s="190">
        <v>8</v>
      </c>
      <c r="I57" s="189">
        <f t="shared" ref="I57:I64" si="12">H57/I$54</f>
        <v>0.8</v>
      </c>
      <c r="J57" s="190">
        <f>1+8</f>
        <v>9</v>
      </c>
      <c r="K57" s="189">
        <f t="shared" ref="K57:K64" si="13">J57/K$54</f>
        <v>0.81818181818181823</v>
      </c>
      <c r="L57" s="190">
        <v>9</v>
      </c>
      <c r="M57" s="189">
        <f t="shared" ref="M57:M64" si="14">L57/M$54</f>
        <v>0.81818181818181823</v>
      </c>
      <c r="N57" s="190">
        <v>9</v>
      </c>
      <c r="O57" s="189">
        <f t="shared" ref="O57:O64" si="15">N57/O$54</f>
        <v>0.69230769230769229</v>
      </c>
      <c r="P57" s="190">
        <v>9</v>
      </c>
      <c r="Q57" s="189">
        <f t="shared" ref="Q57:Q64" si="16">P57/Q$54</f>
        <v>0.81818181818181823</v>
      </c>
      <c r="R57" s="190">
        <v>8</v>
      </c>
      <c r="S57" s="189">
        <f t="shared" ref="S57:S64" si="17">R57/S$54</f>
        <v>0.72727272727272729</v>
      </c>
      <c r="T57" s="190"/>
      <c r="U57" s="191" t="e">
        <f t="shared" ref="U57:U64" si="18">T57/U$54</f>
        <v>#DIV/0!</v>
      </c>
      <c r="V57" s="192"/>
      <c r="W57" s="807">
        <f t="shared" ref="W57:W76" si="19">AVERAGE(N57,L57,R57,T57,P57)</f>
        <v>8.75</v>
      </c>
      <c r="X57" s="193" t="e">
        <f>AVERAGE(O57,M57,U57,S57,Q57)</f>
        <v>#DIV/0!</v>
      </c>
    </row>
    <row r="58" spans="1:24" s="1" customFormat="1" ht="15" customHeight="1" x14ac:dyDescent="0.2">
      <c r="A58" s="194" t="s">
        <v>46</v>
      </c>
      <c r="B58" s="187">
        <v>0</v>
      </c>
      <c r="C58" s="188">
        <f t="shared" si="9"/>
        <v>0</v>
      </c>
      <c r="D58" s="187">
        <v>0</v>
      </c>
      <c r="E58" s="189">
        <f t="shared" si="10"/>
        <v>0</v>
      </c>
      <c r="F58" s="190">
        <v>0</v>
      </c>
      <c r="G58" s="189">
        <f t="shared" si="11"/>
        <v>0</v>
      </c>
      <c r="H58" s="190">
        <v>0</v>
      </c>
      <c r="I58" s="189">
        <f t="shared" si="12"/>
        <v>0</v>
      </c>
      <c r="J58" s="190">
        <f>0</f>
        <v>0</v>
      </c>
      <c r="K58" s="189">
        <f t="shared" si="13"/>
        <v>0</v>
      </c>
      <c r="L58" s="190">
        <v>0</v>
      </c>
      <c r="M58" s="189">
        <f t="shared" si="14"/>
        <v>0</v>
      </c>
      <c r="N58" s="190">
        <v>1</v>
      </c>
      <c r="O58" s="189">
        <f t="shared" si="15"/>
        <v>7.6923076923076927E-2</v>
      </c>
      <c r="P58" s="190">
        <v>1</v>
      </c>
      <c r="Q58" s="189">
        <f t="shared" si="16"/>
        <v>9.0909090909090912E-2</v>
      </c>
      <c r="R58" s="190">
        <v>1</v>
      </c>
      <c r="S58" s="189">
        <f t="shared" si="17"/>
        <v>9.0909090909090912E-2</v>
      </c>
      <c r="T58" s="190"/>
      <c r="U58" s="191" t="e">
        <f t="shared" si="18"/>
        <v>#DIV/0!</v>
      </c>
      <c r="V58" s="192"/>
      <c r="W58" s="807">
        <f t="shared" si="19"/>
        <v>0.75</v>
      </c>
      <c r="X58" s="193" t="e">
        <f t="shared" ref="X58:X76" si="20">AVERAGE(O58,M58,U58,S58,Q58)</f>
        <v>#DIV/0!</v>
      </c>
    </row>
    <row r="59" spans="1:24" s="1" customFormat="1" ht="15" customHeight="1" x14ac:dyDescent="0.2">
      <c r="A59" s="194" t="s">
        <v>47</v>
      </c>
      <c r="B59" s="187">
        <v>0</v>
      </c>
      <c r="C59" s="188">
        <f t="shared" si="9"/>
        <v>0</v>
      </c>
      <c r="D59" s="187">
        <v>0</v>
      </c>
      <c r="E59" s="189">
        <f t="shared" si="10"/>
        <v>0</v>
      </c>
      <c r="F59" s="190">
        <v>0</v>
      </c>
      <c r="G59" s="189">
        <f t="shared" si="11"/>
        <v>0</v>
      </c>
      <c r="H59" s="190">
        <v>0</v>
      </c>
      <c r="I59" s="189">
        <f t="shared" si="12"/>
        <v>0</v>
      </c>
      <c r="J59" s="190">
        <f>0</f>
        <v>0</v>
      </c>
      <c r="K59" s="189">
        <f t="shared" si="13"/>
        <v>0</v>
      </c>
      <c r="L59" s="190">
        <v>0</v>
      </c>
      <c r="M59" s="189">
        <f t="shared" si="14"/>
        <v>0</v>
      </c>
      <c r="N59" s="190">
        <v>0</v>
      </c>
      <c r="O59" s="189">
        <f t="shared" si="15"/>
        <v>0</v>
      </c>
      <c r="P59" s="190">
        <v>0</v>
      </c>
      <c r="Q59" s="189">
        <f t="shared" si="16"/>
        <v>0</v>
      </c>
      <c r="R59" s="190">
        <v>0</v>
      </c>
      <c r="S59" s="189">
        <f t="shared" si="17"/>
        <v>0</v>
      </c>
      <c r="T59" s="190"/>
      <c r="U59" s="191" t="e">
        <f t="shared" si="18"/>
        <v>#DIV/0!</v>
      </c>
      <c r="V59" s="192"/>
      <c r="W59" s="807">
        <f t="shared" si="19"/>
        <v>0</v>
      </c>
      <c r="X59" s="193" t="e">
        <f t="shared" si="20"/>
        <v>#DIV/0!</v>
      </c>
    </row>
    <row r="60" spans="1:24" s="1" customFormat="1" ht="15" customHeight="1" x14ac:dyDescent="0.2">
      <c r="A60" s="194" t="s">
        <v>48</v>
      </c>
      <c r="B60" s="187">
        <v>0</v>
      </c>
      <c r="C60" s="188">
        <f t="shared" si="9"/>
        <v>0</v>
      </c>
      <c r="D60" s="187">
        <v>0</v>
      </c>
      <c r="E60" s="189">
        <f t="shared" si="10"/>
        <v>0</v>
      </c>
      <c r="F60" s="190">
        <v>0</v>
      </c>
      <c r="G60" s="189">
        <f t="shared" si="11"/>
        <v>0</v>
      </c>
      <c r="H60" s="190">
        <v>0</v>
      </c>
      <c r="I60" s="189">
        <f t="shared" si="12"/>
        <v>0</v>
      </c>
      <c r="J60" s="190">
        <f>0</f>
        <v>0</v>
      </c>
      <c r="K60" s="189">
        <f t="shared" si="13"/>
        <v>0</v>
      </c>
      <c r="L60" s="190">
        <v>0</v>
      </c>
      <c r="M60" s="189">
        <f t="shared" si="14"/>
        <v>0</v>
      </c>
      <c r="N60" s="190">
        <v>0</v>
      </c>
      <c r="O60" s="189">
        <f t="shared" si="15"/>
        <v>0</v>
      </c>
      <c r="P60" s="190">
        <v>0</v>
      </c>
      <c r="Q60" s="189">
        <f t="shared" si="16"/>
        <v>0</v>
      </c>
      <c r="R60" s="190">
        <v>0</v>
      </c>
      <c r="S60" s="189">
        <f t="shared" si="17"/>
        <v>0</v>
      </c>
      <c r="T60" s="190"/>
      <c r="U60" s="191" t="e">
        <f t="shared" si="18"/>
        <v>#DIV/0!</v>
      </c>
      <c r="V60" s="192"/>
      <c r="W60" s="807">
        <f t="shared" si="19"/>
        <v>0</v>
      </c>
      <c r="X60" s="193" t="e">
        <f t="shared" si="20"/>
        <v>#DIV/0!</v>
      </c>
    </row>
    <row r="61" spans="1:24" s="1" customFormat="1" ht="15" customHeight="1" x14ac:dyDescent="0.2">
      <c r="A61" s="194" t="s">
        <v>49</v>
      </c>
      <c r="B61" s="187">
        <v>0</v>
      </c>
      <c r="C61" s="188">
        <f t="shared" si="9"/>
        <v>0</v>
      </c>
      <c r="D61" s="187">
        <v>1</v>
      </c>
      <c r="E61" s="189">
        <f t="shared" si="10"/>
        <v>8.3333333333333329E-2</v>
      </c>
      <c r="F61" s="190">
        <v>1</v>
      </c>
      <c r="G61" s="189">
        <f t="shared" si="11"/>
        <v>8.3333333333333329E-2</v>
      </c>
      <c r="H61" s="190">
        <v>1</v>
      </c>
      <c r="I61" s="189">
        <f t="shared" si="12"/>
        <v>0.1</v>
      </c>
      <c r="J61" s="190">
        <f>1+1</f>
        <v>2</v>
      </c>
      <c r="K61" s="189">
        <f t="shared" si="13"/>
        <v>0.18181818181818182</v>
      </c>
      <c r="L61" s="190">
        <v>2</v>
      </c>
      <c r="M61" s="189">
        <f t="shared" si="14"/>
        <v>0.18181818181818182</v>
      </c>
      <c r="N61" s="190">
        <v>2</v>
      </c>
      <c r="O61" s="189">
        <f t="shared" si="15"/>
        <v>0.15384615384615385</v>
      </c>
      <c r="P61" s="190">
        <v>0</v>
      </c>
      <c r="Q61" s="189">
        <f t="shared" si="16"/>
        <v>0</v>
      </c>
      <c r="R61" s="190">
        <v>0</v>
      </c>
      <c r="S61" s="189">
        <f t="shared" si="17"/>
        <v>0</v>
      </c>
      <c r="T61" s="190"/>
      <c r="U61" s="191" t="e">
        <f t="shared" si="18"/>
        <v>#DIV/0!</v>
      </c>
      <c r="V61" s="192"/>
      <c r="W61" s="807">
        <f t="shared" si="19"/>
        <v>1</v>
      </c>
      <c r="X61" s="193" t="e">
        <f t="shared" si="20"/>
        <v>#DIV/0!</v>
      </c>
    </row>
    <row r="62" spans="1:24" s="1" customFormat="1" ht="15" customHeight="1" x14ac:dyDescent="0.2">
      <c r="A62" s="194" t="s">
        <v>50</v>
      </c>
      <c r="B62" s="187">
        <v>2</v>
      </c>
      <c r="C62" s="188">
        <f t="shared" si="9"/>
        <v>0.16666666666666666</v>
      </c>
      <c r="D62" s="187">
        <v>1</v>
      </c>
      <c r="E62" s="189">
        <f t="shared" si="10"/>
        <v>8.3333333333333329E-2</v>
      </c>
      <c r="F62" s="190">
        <v>2</v>
      </c>
      <c r="G62" s="189">
        <f t="shared" si="11"/>
        <v>0.16666666666666666</v>
      </c>
      <c r="H62" s="190">
        <v>1</v>
      </c>
      <c r="I62" s="189">
        <f t="shared" si="12"/>
        <v>0.1</v>
      </c>
      <c r="J62" s="190">
        <f>0</f>
        <v>0</v>
      </c>
      <c r="K62" s="189">
        <f t="shared" si="13"/>
        <v>0</v>
      </c>
      <c r="L62" s="190">
        <v>0</v>
      </c>
      <c r="M62" s="189">
        <f t="shared" si="14"/>
        <v>0</v>
      </c>
      <c r="N62" s="190">
        <v>1</v>
      </c>
      <c r="O62" s="189">
        <f t="shared" si="15"/>
        <v>7.6923076923076927E-2</v>
      </c>
      <c r="P62" s="190">
        <v>1</v>
      </c>
      <c r="Q62" s="189">
        <f t="shared" si="16"/>
        <v>9.0909090909090912E-2</v>
      </c>
      <c r="R62" s="190">
        <v>2</v>
      </c>
      <c r="S62" s="189">
        <f t="shared" si="17"/>
        <v>0.18181818181818182</v>
      </c>
      <c r="T62" s="190"/>
      <c r="U62" s="191" t="e">
        <f t="shared" si="18"/>
        <v>#DIV/0!</v>
      </c>
      <c r="V62" s="192"/>
      <c r="W62" s="807">
        <f t="shared" si="19"/>
        <v>1</v>
      </c>
      <c r="X62" s="193" t="e">
        <f t="shared" si="20"/>
        <v>#DIV/0!</v>
      </c>
    </row>
    <row r="63" spans="1:24" s="1" customFormat="1" ht="15" customHeight="1" x14ac:dyDescent="0.2">
      <c r="A63" s="194" t="s">
        <v>51</v>
      </c>
      <c r="B63" s="195"/>
      <c r="C63" s="188"/>
      <c r="D63" s="195"/>
      <c r="E63" s="189"/>
      <c r="F63" s="196"/>
      <c r="G63" s="189"/>
      <c r="H63" s="196">
        <v>0</v>
      </c>
      <c r="I63" s="189">
        <f t="shared" si="12"/>
        <v>0</v>
      </c>
      <c r="J63" s="196">
        <f>0</f>
        <v>0</v>
      </c>
      <c r="K63" s="189">
        <f t="shared" si="13"/>
        <v>0</v>
      </c>
      <c r="L63" s="196">
        <v>0</v>
      </c>
      <c r="M63" s="189">
        <f t="shared" si="14"/>
        <v>0</v>
      </c>
      <c r="N63" s="196">
        <v>0</v>
      </c>
      <c r="O63" s="189">
        <f t="shared" si="15"/>
        <v>0</v>
      </c>
      <c r="P63" s="196">
        <v>0</v>
      </c>
      <c r="Q63" s="189">
        <f t="shared" si="16"/>
        <v>0</v>
      </c>
      <c r="R63" s="196">
        <v>0</v>
      </c>
      <c r="S63" s="189">
        <f t="shared" si="17"/>
        <v>0</v>
      </c>
      <c r="T63" s="190"/>
      <c r="U63" s="191" t="e">
        <f t="shared" si="18"/>
        <v>#DIV/0!</v>
      </c>
      <c r="V63" s="192"/>
      <c r="W63" s="807">
        <f t="shared" si="19"/>
        <v>0</v>
      </c>
      <c r="X63" s="193" t="e">
        <f t="shared" si="20"/>
        <v>#DIV/0!</v>
      </c>
    </row>
    <row r="64" spans="1:24" s="1" customFormat="1" ht="15" customHeight="1" thickBot="1" x14ac:dyDescent="0.25">
      <c r="A64" s="194" t="s">
        <v>52</v>
      </c>
      <c r="B64" s="195">
        <v>0</v>
      </c>
      <c r="C64" s="627">
        <f>B64/C$54</f>
        <v>0</v>
      </c>
      <c r="D64" s="195">
        <v>0</v>
      </c>
      <c r="E64" s="628">
        <f>D64/E$54</f>
        <v>0</v>
      </c>
      <c r="F64" s="196">
        <v>0</v>
      </c>
      <c r="G64" s="628">
        <f>F64/G$54</f>
        <v>0</v>
      </c>
      <c r="H64" s="196">
        <v>0</v>
      </c>
      <c r="I64" s="628">
        <f t="shared" si="12"/>
        <v>0</v>
      </c>
      <c r="J64" s="196">
        <f>0</f>
        <v>0</v>
      </c>
      <c r="K64" s="628">
        <f t="shared" si="13"/>
        <v>0</v>
      </c>
      <c r="L64" s="196">
        <v>0</v>
      </c>
      <c r="M64" s="628">
        <f t="shared" si="14"/>
        <v>0</v>
      </c>
      <c r="N64" s="196">
        <v>0</v>
      </c>
      <c r="O64" s="628">
        <f t="shared" si="15"/>
        <v>0</v>
      </c>
      <c r="P64" s="196">
        <v>0</v>
      </c>
      <c r="Q64" s="628">
        <f t="shared" si="16"/>
        <v>0</v>
      </c>
      <c r="R64" s="196">
        <v>0</v>
      </c>
      <c r="S64" s="628">
        <f t="shared" si="17"/>
        <v>0</v>
      </c>
      <c r="T64" s="196"/>
      <c r="U64" s="629" t="e">
        <f t="shared" si="18"/>
        <v>#DIV/0!</v>
      </c>
      <c r="V64" s="192"/>
      <c r="W64" s="807">
        <f t="shared" si="19"/>
        <v>0</v>
      </c>
      <c r="X64" s="193" t="e">
        <f t="shared" si="20"/>
        <v>#DIV/0!</v>
      </c>
    </row>
    <row r="65" spans="1:24" s="1" customFormat="1" ht="18" customHeight="1" x14ac:dyDescent="0.2">
      <c r="A65" s="603" t="s">
        <v>53</v>
      </c>
      <c r="B65" s="632"/>
      <c r="C65" s="633"/>
      <c r="D65" s="632"/>
      <c r="E65" s="634"/>
      <c r="F65" s="635"/>
      <c r="G65" s="634"/>
      <c r="H65" s="635"/>
      <c r="I65" s="634"/>
      <c r="J65" s="635"/>
      <c r="K65" s="634"/>
      <c r="L65" s="635"/>
      <c r="M65" s="634"/>
      <c r="N65" s="635"/>
      <c r="O65" s="634"/>
      <c r="P65" s="635"/>
      <c r="Q65" s="634"/>
      <c r="R65" s="635"/>
      <c r="S65" s="634"/>
      <c r="T65" s="635"/>
      <c r="U65" s="636"/>
      <c r="V65" s="192"/>
      <c r="W65" s="807"/>
      <c r="X65" s="193"/>
    </row>
    <row r="66" spans="1:24" s="1" customFormat="1" ht="15" customHeight="1" x14ac:dyDescent="0.2">
      <c r="A66" s="186" t="s">
        <v>54</v>
      </c>
      <c r="B66" s="202">
        <v>9</v>
      </c>
      <c r="C66" s="188">
        <f>B66/C$54</f>
        <v>0.75</v>
      </c>
      <c r="D66" s="202">
        <v>9</v>
      </c>
      <c r="E66" s="189">
        <f>D66/E$54</f>
        <v>0.75</v>
      </c>
      <c r="F66" s="93">
        <v>10</v>
      </c>
      <c r="G66" s="189">
        <f>F66/G$54</f>
        <v>0.83333333333333337</v>
      </c>
      <c r="H66" s="93">
        <v>8</v>
      </c>
      <c r="I66" s="189">
        <f>H66/I$54</f>
        <v>0.8</v>
      </c>
      <c r="J66" s="93">
        <f>2+7</f>
        <v>9</v>
      </c>
      <c r="K66" s="189">
        <f>J66/K$54</f>
        <v>0.81818181818181823</v>
      </c>
      <c r="L66" s="93">
        <v>9</v>
      </c>
      <c r="M66" s="189">
        <f>L66/M$54</f>
        <v>0.81818181818181823</v>
      </c>
      <c r="N66" s="93">
        <v>11</v>
      </c>
      <c r="O66" s="189">
        <f>N66/O$54</f>
        <v>0.84615384615384615</v>
      </c>
      <c r="P66" s="93">
        <v>9</v>
      </c>
      <c r="Q66" s="189">
        <f>P66/Q$54</f>
        <v>0.81818181818181823</v>
      </c>
      <c r="R66" s="93">
        <v>9</v>
      </c>
      <c r="S66" s="189">
        <f>R66/S$54</f>
        <v>0.81818181818181823</v>
      </c>
      <c r="T66" s="93"/>
      <c r="U66" s="191" t="e">
        <f>T66/U$54</f>
        <v>#DIV/0!</v>
      </c>
      <c r="V66" s="192"/>
      <c r="W66" s="807">
        <f t="shared" si="19"/>
        <v>9.5</v>
      </c>
      <c r="X66" s="193" t="e">
        <f t="shared" si="20"/>
        <v>#DIV/0!</v>
      </c>
    </row>
    <row r="67" spans="1:24" s="1" customFormat="1" ht="15" customHeight="1" thickBot="1" x14ac:dyDescent="0.25">
      <c r="A67" s="194" t="s">
        <v>55</v>
      </c>
      <c r="B67" s="630">
        <v>3</v>
      </c>
      <c r="C67" s="627">
        <f>B67/C$54</f>
        <v>0.25</v>
      </c>
      <c r="D67" s="630">
        <v>3</v>
      </c>
      <c r="E67" s="628">
        <f>D67/E$54</f>
        <v>0.25</v>
      </c>
      <c r="F67" s="631">
        <v>2</v>
      </c>
      <c r="G67" s="628">
        <f>F67/G$54</f>
        <v>0.16666666666666666</v>
      </c>
      <c r="H67" s="631">
        <v>2</v>
      </c>
      <c r="I67" s="628">
        <f>H67/I$54</f>
        <v>0.2</v>
      </c>
      <c r="J67" s="631">
        <f>2</f>
        <v>2</v>
      </c>
      <c r="K67" s="628">
        <f>J67/K$54</f>
        <v>0.18181818181818182</v>
      </c>
      <c r="L67" s="631">
        <v>2</v>
      </c>
      <c r="M67" s="628">
        <f>L67/M$54</f>
        <v>0.18181818181818182</v>
      </c>
      <c r="N67" s="631">
        <v>2</v>
      </c>
      <c r="O67" s="628">
        <f>N67/O$54</f>
        <v>0.15384615384615385</v>
      </c>
      <c r="P67" s="631">
        <v>2</v>
      </c>
      <c r="Q67" s="628">
        <f>P67/Q$54</f>
        <v>0.18181818181818182</v>
      </c>
      <c r="R67" s="631">
        <v>2</v>
      </c>
      <c r="S67" s="628">
        <f>R67/S$54</f>
        <v>0.18181818181818182</v>
      </c>
      <c r="T67" s="631"/>
      <c r="U67" s="629" t="e">
        <f>T67/U$54</f>
        <v>#DIV/0!</v>
      </c>
      <c r="V67" s="192"/>
      <c r="W67" s="807">
        <f t="shared" si="19"/>
        <v>2</v>
      </c>
      <c r="X67" s="193" t="e">
        <f t="shared" si="20"/>
        <v>#DIV/0!</v>
      </c>
    </row>
    <row r="68" spans="1:24" s="1" customFormat="1" ht="18" customHeight="1" x14ac:dyDescent="0.2">
      <c r="A68" s="603" t="s">
        <v>56</v>
      </c>
      <c r="B68" s="637"/>
      <c r="C68" s="638"/>
      <c r="D68" s="637"/>
      <c r="E68" s="639"/>
      <c r="F68" s="640"/>
      <c r="G68" s="639"/>
      <c r="H68" s="640"/>
      <c r="I68" s="639"/>
      <c r="J68" s="640"/>
      <c r="K68" s="639"/>
      <c r="L68" s="640"/>
      <c r="M68" s="639"/>
      <c r="N68" s="640"/>
      <c r="O68" s="639"/>
      <c r="P68" s="640"/>
      <c r="Q68" s="639"/>
      <c r="R68" s="640"/>
      <c r="S68" s="639"/>
      <c r="T68" s="640"/>
      <c r="U68" s="641"/>
      <c r="V68" s="192"/>
      <c r="W68" s="807"/>
      <c r="X68" s="193"/>
    </row>
    <row r="69" spans="1:24" s="1" customFormat="1" ht="15" customHeight="1" x14ac:dyDescent="0.2">
      <c r="A69" s="186" t="s">
        <v>57</v>
      </c>
      <c r="B69" s="203">
        <v>9</v>
      </c>
      <c r="C69" s="188">
        <f>B69/C$54</f>
        <v>0.75</v>
      </c>
      <c r="D69" s="203">
        <v>9</v>
      </c>
      <c r="E69" s="189">
        <f>D69/E$54</f>
        <v>0.75</v>
      </c>
      <c r="F69" s="204">
        <v>9</v>
      </c>
      <c r="G69" s="189">
        <f>F69/G$54</f>
        <v>0.75</v>
      </c>
      <c r="H69" s="204">
        <v>8</v>
      </c>
      <c r="I69" s="189">
        <f>H69/I$54</f>
        <v>0.8</v>
      </c>
      <c r="J69" s="204">
        <f>2+6</f>
        <v>8</v>
      </c>
      <c r="K69" s="189">
        <f>J69/K$54</f>
        <v>0.72727272727272729</v>
      </c>
      <c r="L69" s="204">
        <v>10</v>
      </c>
      <c r="M69" s="189">
        <f>L69/M$54</f>
        <v>0.90909090909090906</v>
      </c>
      <c r="N69" s="204">
        <v>10</v>
      </c>
      <c r="O69" s="189">
        <f>N69/O$54</f>
        <v>0.76923076923076927</v>
      </c>
      <c r="P69" s="204">
        <v>8</v>
      </c>
      <c r="Q69" s="189">
        <f>P69/Q$54</f>
        <v>0.72727272727272729</v>
      </c>
      <c r="R69" s="204">
        <v>7</v>
      </c>
      <c r="S69" s="189">
        <f>R69/S$54</f>
        <v>0.63636363636363635</v>
      </c>
      <c r="T69" s="204"/>
      <c r="U69" s="191" t="e">
        <f>T69/U$54</f>
        <v>#DIV/0!</v>
      </c>
      <c r="V69" s="192"/>
      <c r="W69" s="807">
        <f t="shared" si="19"/>
        <v>8.75</v>
      </c>
      <c r="X69" s="193" t="e">
        <f t="shared" si="20"/>
        <v>#DIV/0!</v>
      </c>
    </row>
    <row r="70" spans="1:24" s="1" customFormat="1" ht="15" customHeight="1" x14ac:dyDescent="0.2">
      <c r="A70" s="186" t="s">
        <v>58</v>
      </c>
      <c r="B70" s="203">
        <v>3</v>
      </c>
      <c r="C70" s="188">
        <f>B70/C$54</f>
        <v>0.25</v>
      </c>
      <c r="D70" s="203">
        <v>3</v>
      </c>
      <c r="E70" s="189">
        <f>D70/E$54</f>
        <v>0.25</v>
      </c>
      <c r="F70" s="204">
        <v>2</v>
      </c>
      <c r="G70" s="189">
        <f>F70/G$54</f>
        <v>0.16666666666666666</v>
      </c>
      <c r="H70" s="204">
        <v>2</v>
      </c>
      <c r="I70" s="189">
        <f>H70/I$54</f>
        <v>0.2</v>
      </c>
      <c r="J70" s="204">
        <f>2</f>
        <v>2</v>
      </c>
      <c r="K70" s="189">
        <f>J70/K$54</f>
        <v>0.18181818181818182</v>
      </c>
      <c r="L70" s="204">
        <v>0</v>
      </c>
      <c r="M70" s="189">
        <f>L70/M$54</f>
        <v>0</v>
      </c>
      <c r="N70" s="204">
        <v>2</v>
      </c>
      <c r="O70" s="189">
        <f>N70/O$54</f>
        <v>0.15384615384615385</v>
      </c>
      <c r="P70" s="204">
        <v>2</v>
      </c>
      <c r="Q70" s="189">
        <f>P70/Q$54</f>
        <v>0.18181818181818182</v>
      </c>
      <c r="R70" s="204">
        <v>3</v>
      </c>
      <c r="S70" s="189">
        <f>R70/S$54</f>
        <v>0.27272727272727271</v>
      </c>
      <c r="T70" s="204"/>
      <c r="U70" s="191" t="e">
        <f>T70/U$54</f>
        <v>#DIV/0!</v>
      </c>
      <c r="V70" s="192"/>
      <c r="W70" s="807">
        <f t="shared" si="19"/>
        <v>1.75</v>
      </c>
      <c r="X70" s="193" t="e">
        <f t="shared" si="20"/>
        <v>#DIV/0!</v>
      </c>
    </row>
    <row r="71" spans="1:24" s="1" customFormat="1" ht="15" customHeight="1" thickBot="1" x14ac:dyDescent="0.25">
      <c r="A71" s="194" t="s">
        <v>59</v>
      </c>
      <c r="B71" s="630">
        <v>0</v>
      </c>
      <c r="C71" s="627">
        <f>B71/C$54</f>
        <v>0</v>
      </c>
      <c r="D71" s="630">
        <v>0</v>
      </c>
      <c r="E71" s="628">
        <f>D71/E$54</f>
        <v>0</v>
      </c>
      <c r="F71" s="631">
        <v>1</v>
      </c>
      <c r="G71" s="628">
        <f>F71/G$54</f>
        <v>8.3333333333333329E-2</v>
      </c>
      <c r="H71" s="631">
        <v>0</v>
      </c>
      <c r="I71" s="628">
        <f>H71/I$54</f>
        <v>0</v>
      </c>
      <c r="J71" s="631">
        <f>1</f>
        <v>1</v>
      </c>
      <c r="K71" s="628">
        <f>J71/K$54</f>
        <v>9.0909090909090912E-2</v>
      </c>
      <c r="L71" s="631">
        <v>1</v>
      </c>
      <c r="M71" s="628">
        <f>L71/M$54</f>
        <v>9.0909090909090912E-2</v>
      </c>
      <c r="N71" s="631">
        <v>1</v>
      </c>
      <c r="O71" s="628">
        <f>N71/O$54</f>
        <v>7.6923076923076927E-2</v>
      </c>
      <c r="P71" s="631">
        <v>1</v>
      </c>
      <c r="Q71" s="628">
        <f>P71/Q$54</f>
        <v>9.0909090909090912E-2</v>
      </c>
      <c r="R71" s="631">
        <v>1</v>
      </c>
      <c r="S71" s="628">
        <f>R71/S$54</f>
        <v>9.0909090909090912E-2</v>
      </c>
      <c r="T71" s="631"/>
      <c r="U71" s="629" t="e">
        <f>T71/U$54</f>
        <v>#DIV/0!</v>
      </c>
      <c r="V71" s="192"/>
      <c r="W71" s="807">
        <f t="shared" si="19"/>
        <v>1</v>
      </c>
      <c r="X71" s="193" t="e">
        <f t="shared" si="20"/>
        <v>#DIV/0!</v>
      </c>
    </row>
    <row r="72" spans="1:24" s="1" customFormat="1" ht="18" customHeight="1" x14ac:dyDescent="0.2">
      <c r="A72" s="603" t="s">
        <v>60</v>
      </c>
      <c r="B72" s="637"/>
      <c r="C72" s="638"/>
      <c r="D72" s="637"/>
      <c r="E72" s="639"/>
      <c r="F72" s="640"/>
      <c r="G72" s="639"/>
      <c r="H72" s="640"/>
      <c r="I72" s="639"/>
      <c r="J72" s="640"/>
      <c r="K72" s="639"/>
      <c r="L72" s="640"/>
      <c r="M72" s="639"/>
      <c r="N72" s="640"/>
      <c r="O72" s="639"/>
      <c r="P72" s="640"/>
      <c r="Q72" s="639"/>
      <c r="R72" s="640"/>
      <c r="S72" s="639"/>
      <c r="T72" s="640"/>
      <c r="U72" s="641"/>
      <c r="V72" s="192"/>
      <c r="W72" s="807"/>
      <c r="X72" s="193"/>
    </row>
    <row r="73" spans="1:24" s="1" customFormat="1" ht="15" customHeight="1" x14ac:dyDescent="0.2">
      <c r="A73" s="186" t="s">
        <v>61</v>
      </c>
      <c r="B73" s="203">
        <v>12</v>
      </c>
      <c r="C73" s="188">
        <f>B73/C$54</f>
        <v>1</v>
      </c>
      <c r="D73" s="203">
        <v>12</v>
      </c>
      <c r="E73" s="189">
        <f>D73/E$54</f>
        <v>1</v>
      </c>
      <c r="F73" s="204">
        <v>12</v>
      </c>
      <c r="G73" s="189">
        <f>F73/G$54</f>
        <v>1</v>
      </c>
      <c r="H73" s="204">
        <v>10</v>
      </c>
      <c r="I73" s="189">
        <f>H73/I$54</f>
        <v>1</v>
      </c>
      <c r="J73" s="204">
        <f>2+8</f>
        <v>10</v>
      </c>
      <c r="K73" s="189">
        <f>J73/K$54</f>
        <v>0.90909090909090906</v>
      </c>
      <c r="L73" s="204">
        <v>10</v>
      </c>
      <c r="M73" s="189">
        <f>L73/M$54</f>
        <v>0.90909090909090906</v>
      </c>
      <c r="N73" s="204">
        <v>12</v>
      </c>
      <c r="O73" s="189">
        <f>N73/O$54</f>
        <v>0.92307692307692313</v>
      </c>
      <c r="P73" s="204">
        <v>10</v>
      </c>
      <c r="Q73" s="189">
        <f>P73/Q$54</f>
        <v>0.90909090909090906</v>
      </c>
      <c r="R73" s="204">
        <v>11</v>
      </c>
      <c r="S73" s="189">
        <f>R73/S$54</f>
        <v>1</v>
      </c>
      <c r="T73" s="204"/>
      <c r="U73" s="191" t="e">
        <f>T73/U$54</f>
        <v>#DIV/0!</v>
      </c>
      <c r="V73" s="192"/>
      <c r="W73" s="807">
        <f t="shared" si="19"/>
        <v>10.75</v>
      </c>
      <c r="X73" s="193" t="e">
        <f t="shared" si="20"/>
        <v>#DIV/0!</v>
      </c>
    </row>
    <row r="74" spans="1:24" s="1" customFormat="1" ht="15" customHeight="1" x14ac:dyDescent="0.2">
      <c r="A74" s="186" t="s">
        <v>62</v>
      </c>
      <c r="B74" s="203">
        <v>0</v>
      </c>
      <c r="C74" s="188">
        <f>B74/C$54</f>
        <v>0</v>
      </c>
      <c r="D74" s="203">
        <v>0</v>
      </c>
      <c r="E74" s="189">
        <f>D74/E$54</f>
        <v>0</v>
      </c>
      <c r="F74" s="204">
        <v>0</v>
      </c>
      <c r="G74" s="189">
        <f>F74/G$54</f>
        <v>0</v>
      </c>
      <c r="H74" s="204">
        <v>0</v>
      </c>
      <c r="I74" s="189">
        <f>H74/I$54</f>
        <v>0</v>
      </c>
      <c r="J74" s="204">
        <f>1</f>
        <v>1</v>
      </c>
      <c r="K74" s="189">
        <f>J74/K$54</f>
        <v>9.0909090909090912E-2</v>
      </c>
      <c r="L74" s="204">
        <v>1</v>
      </c>
      <c r="M74" s="189">
        <f>L74/M$54</f>
        <v>9.0909090909090912E-2</v>
      </c>
      <c r="N74" s="204">
        <v>1</v>
      </c>
      <c r="O74" s="189">
        <f>N74/O$54</f>
        <v>7.6923076923076927E-2</v>
      </c>
      <c r="P74" s="204">
        <v>1</v>
      </c>
      <c r="Q74" s="189">
        <f>P74/Q$54</f>
        <v>9.0909090909090912E-2</v>
      </c>
      <c r="R74" s="204">
        <v>0</v>
      </c>
      <c r="S74" s="189">
        <f>R74/S$54</f>
        <v>0</v>
      </c>
      <c r="T74" s="204"/>
      <c r="U74" s="191" t="e">
        <f>T74/U$54</f>
        <v>#DIV/0!</v>
      </c>
      <c r="V74" s="192"/>
      <c r="W74" s="807">
        <f t="shared" si="19"/>
        <v>0.75</v>
      </c>
      <c r="X74" s="193" t="e">
        <f t="shared" si="20"/>
        <v>#DIV/0!</v>
      </c>
    </row>
    <row r="75" spans="1:24" s="1" customFormat="1" ht="15" customHeight="1" x14ac:dyDescent="0.2">
      <c r="A75" s="186" t="s">
        <v>63</v>
      </c>
      <c r="B75" s="203">
        <v>0</v>
      </c>
      <c r="C75" s="188">
        <f>B75/C$54</f>
        <v>0</v>
      </c>
      <c r="D75" s="203">
        <v>0</v>
      </c>
      <c r="E75" s="189">
        <f>D75/E$54</f>
        <v>0</v>
      </c>
      <c r="F75" s="204">
        <v>0</v>
      </c>
      <c r="G75" s="189">
        <f>F75/G$54</f>
        <v>0</v>
      </c>
      <c r="H75" s="204">
        <v>0</v>
      </c>
      <c r="I75" s="189">
        <f>H75/I$54</f>
        <v>0</v>
      </c>
      <c r="J75" s="204">
        <f>0</f>
        <v>0</v>
      </c>
      <c r="K75" s="189">
        <f>J75/K$54</f>
        <v>0</v>
      </c>
      <c r="L75" s="204">
        <v>0</v>
      </c>
      <c r="M75" s="189">
        <f>L75/M$54</f>
        <v>0</v>
      </c>
      <c r="N75" s="204">
        <v>0</v>
      </c>
      <c r="O75" s="189">
        <f>N75/O$54</f>
        <v>0</v>
      </c>
      <c r="P75" s="204">
        <v>0</v>
      </c>
      <c r="Q75" s="189">
        <f>P75/Q$54</f>
        <v>0</v>
      </c>
      <c r="R75" s="204">
        <v>0</v>
      </c>
      <c r="S75" s="189">
        <f>R75/S$54</f>
        <v>0</v>
      </c>
      <c r="T75" s="204"/>
      <c r="U75" s="191" t="e">
        <f>T75/U$54</f>
        <v>#DIV/0!</v>
      </c>
      <c r="V75" s="182"/>
      <c r="W75" s="807">
        <f t="shared" si="19"/>
        <v>0</v>
      </c>
      <c r="X75" s="193" t="e">
        <f t="shared" si="20"/>
        <v>#DIV/0!</v>
      </c>
    </row>
    <row r="76" spans="1:24" s="1" customFormat="1" ht="15" customHeight="1" thickBot="1" x14ac:dyDescent="0.25">
      <c r="A76" s="207" t="s">
        <v>64</v>
      </c>
      <c r="B76" s="208">
        <v>0</v>
      </c>
      <c r="C76" s="209">
        <f>B76/C$54</f>
        <v>0</v>
      </c>
      <c r="D76" s="208">
        <v>0</v>
      </c>
      <c r="E76" s="210">
        <f>D76/E$54</f>
        <v>0</v>
      </c>
      <c r="F76" s="211">
        <v>0</v>
      </c>
      <c r="G76" s="210">
        <f>F76/G$54</f>
        <v>0</v>
      </c>
      <c r="H76" s="211">
        <v>0</v>
      </c>
      <c r="I76" s="210">
        <f>H76/I$54</f>
        <v>0</v>
      </c>
      <c r="J76" s="211">
        <f>0</f>
        <v>0</v>
      </c>
      <c r="K76" s="210">
        <f>J76/K$54</f>
        <v>0</v>
      </c>
      <c r="L76" s="211">
        <v>0</v>
      </c>
      <c r="M76" s="210">
        <f>L76/M$54</f>
        <v>0</v>
      </c>
      <c r="N76" s="211">
        <v>0</v>
      </c>
      <c r="O76" s="210">
        <f>N76/O$54</f>
        <v>0</v>
      </c>
      <c r="P76" s="211">
        <v>0</v>
      </c>
      <c r="Q76" s="210">
        <f>P76/Q$54</f>
        <v>0</v>
      </c>
      <c r="R76" s="211">
        <v>0</v>
      </c>
      <c r="S76" s="210">
        <f>R76/S$54</f>
        <v>0</v>
      </c>
      <c r="T76" s="211"/>
      <c r="U76" s="212" t="e">
        <f>T76/U$54</f>
        <v>#DIV/0!</v>
      </c>
      <c r="V76" s="182"/>
      <c r="W76" s="811">
        <f t="shared" si="19"/>
        <v>0</v>
      </c>
      <c r="X76" s="213" t="e">
        <f t="shared" si="20"/>
        <v>#DIV/0!</v>
      </c>
    </row>
    <row r="77" spans="1:24" ht="15" customHeight="1" thickTop="1" x14ac:dyDescent="0.2">
      <c r="A77" s="462" t="s">
        <v>160</v>
      </c>
    </row>
    <row r="78" spans="1:24" ht="15" customHeight="1" x14ac:dyDescent="0.2">
      <c r="A78" s="1"/>
      <c r="H78" s="47" t="s">
        <v>19</v>
      </c>
      <c r="J78" s="47" t="s">
        <v>19</v>
      </c>
      <c r="L78" s="47" t="s">
        <v>19</v>
      </c>
      <c r="N78" s="47" t="s">
        <v>19</v>
      </c>
      <c r="P78" s="47" t="s">
        <v>19</v>
      </c>
      <c r="R78" s="47" t="s">
        <v>19</v>
      </c>
      <c r="T78" s="47" t="s">
        <v>19</v>
      </c>
    </row>
    <row r="79" spans="1:24" ht="15" customHeight="1" x14ac:dyDescent="0.2">
      <c r="A79" s="1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</sheetData>
  <mergeCells count="77">
    <mergeCell ref="L42:M42"/>
    <mergeCell ref="N42:O42"/>
    <mergeCell ref="P42:Q42"/>
    <mergeCell ref="R42:S42"/>
    <mergeCell ref="W42:X42"/>
    <mergeCell ref="T42:U42"/>
    <mergeCell ref="B42:C42"/>
    <mergeCell ref="D42:E42"/>
    <mergeCell ref="F42:G42"/>
    <mergeCell ref="H42:I42"/>
    <mergeCell ref="J42:K42"/>
    <mergeCell ref="R36:S36"/>
    <mergeCell ref="W36:X36"/>
    <mergeCell ref="P36:Q36"/>
    <mergeCell ref="B36:C36"/>
    <mergeCell ref="D36:E36"/>
    <mergeCell ref="F36:G36"/>
    <mergeCell ref="H36:I36"/>
    <mergeCell ref="J36:K36"/>
    <mergeCell ref="L36:M36"/>
    <mergeCell ref="N36:O36"/>
    <mergeCell ref="T36:U36"/>
    <mergeCell ref="J33:K33"/>
    <mergeCell ref="L33:M33"/>
    <mergeCell ref="N33:O33"/>
    <mergeCell ref="B33:C33"/>
    <mergeCell ref="D33:E33"/>
    <mergeCell ref="F33:G33"/>
    <mergeCell ref="H33:I33"/>
    <mergeCell ref="P33:Q33"/>
    <mergeCell ref="R33:S33"/>
    <mergeCell ref="W33:X33"/>
    <mergeCell ref="R26:S26"/>
    <mergeCell ref="W26:X26"/>
    <mergeCell ref="P26:Q26"/>
    <mergeCell ref="T26:U26"/>
    <mergeCell ref="T33:U33"/>
    <mergeCell ref="B26:C26"/>
    <mergeCell ref="D26:E26"/>
    <mergeCell ref="J24:K24"/>
    <mergeCell ref="L24:M24"/>
    <mergeCell ref="N24:O24"/>
    <mergeCell ref="B24:C24"/>
    <mergeCell ref="D24:E24"/>
    <mergeCell ref="F24:G24"/>
    <mergeCell ref="H24:I24"/>
    <mergeCell ref="F26:G26"/>
    <mergeCell ref="H26:I26"/>
    <mergeCell ref="J26:K26"/>
    <mergeCell ref="L26:M26"/>
    <mergeCell ref="N26:O26"/>
    <mergeCell ref="L19:M19"/>
    <mergeCell ref="N19:O19"/>
    <mergeCell ref="P24:Q24"/>
    <mergeCell ref="R24:S24"/>
    <mergeCell ref="W24:X24"/>
    <mergeCell ref="R19:S19"/>
    <mergeCell ref="W19:X19"/>
    <mergeCell ref="P19:Q19"/>
    <mergeCell ref="T19:U19"/>
    <mergeCell ref="T24:U24"/>
    <mergeCell ref="B19:C19"/>
    <mergeCell ref="D19:E19"/>
    <mergeCell ref="F19:G19"/>
    <mergeCell ref="H19:I19"/>
    <mergeCell ref="J19:K19"/>
    <mergeCell ref="L9:M9"/>
    <mergeCell ref="N9:O9"/>
    <mergeCell ref="R9:S9"/>
    <mergeCell ref="W9:X9"/>
    <mergeCell ref="P9:Q9"/>
    <mergeCell ref="T9:U9"/>
    <mergeCell ref="B9:C9"/>
    <mergeCell ref="D9:E9"/>
    <mergeCell ref="F9:G9"/>
    <mergeCell ref="H9:I9"/>
    <mergeCell ref="J9:K9"/>
  </mergeCells>
  <printOptions horizontalCentered="1"/>
  <pageMargins left="0.7" right="0.7" top="0.5" bottom="0.5" header="0.3" footer="0.3"/>
  <pageSetup scale="70" orientation="landscape" r:id="rId1"/>
  <headerFooter alignWithMargins="0">
    <oddFooter>&amp;LPrepared by Planning and Analysis&amp;C&amp;P of &amp;N&amp;RUpdated &amp;D</oddFooter>
  </headerFooter>
  <rowBreaks count="1" manualBreakCount="1">
    <brk id="40" max="21" man="1"/>
  </rowBreaks>
  <colBreaks count="1" manualBreakCount="1">
    <brk id="21" min="8" max="75" man="1"/>
  </colBreaks>
  <ignoredErrors>
    <ignoredError sqref="J57:J7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3"/>
  <sheetViews>
    <sheetView view="pageBreakPreview" zoomScaleNormal="100" zoomScaleSheetLayoutView="100" workbookViewId="0">
      <pane xSplit="1" ySplit="1" topLeftCell="J2" activePane="bottomRight" state="frozen"/>
      <selection activeCell="W23" sqref="W23:X23"/>
      <selection pane="topRight" activeCell="W23" sqref="W23:X23"/>
      <selection pane="bottomLeft" activeCell="W23" sqref="W23:X23"/>
      <selection pane="bottomRight" activeCell="W23" sqref="W23:X23"/>
    </sheetView>
  </sheetViews>
  <sheetFormatPr defaultColWidth="10.28515625" defaultRowHeight="12.75" x14ac:dyDescent="0.2"/>
  <cols>
    <col min="1" max="1" width="33.57031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4" ht="15.75" x14ac:dyDescent="0.25">
      <c r="A1" s="438" t="s">
        <v>148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2" spans="1:24" ht="15.75" x14ac:dyDescent="0.25">
      <c r="A2" s="438" t="s">
        <v>149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1:24" x14ac:dyDescent="0.2">
      <c r="A3" s="439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</row>
    <row r="4" spans="1:24" ht="15.75" x14ac:dyDescent="0.25">
      <c r="A4" s="440" t="s">
        <v>150</v>
      </c>
    </row>
    <row r="5" spans="1:24" x14ac:dyDescent="0.2">
      <c r="A5" s="1"/>
    </row>
    <row r="6" spans="1:24" x14ac:dyDescent="0.2">
      <c r="A6" s="2" t="s">
        <v>154</v>
      </c>
    </row>
    <row r="7" spans="1:24" x14ac:dyDescent="0.2">
      <c r="A7" s="441">
        <v>3670045060</v>
      </c>
    </row>
    <row r="8" spans="1:24" ht="13.5" thickBot="1" x14ac:dyDescent="0.25">
      <c r="A8" s="1"/>
    </row>
    <row r="9" spans="1:24" ht="14.25" thickTop="1" thickBot="1" x14ac:dyDescent="0.25">
      <c r="A9" s="3"/>
      <c r="B9" s="943" t="s">
        <v>0</v>
      </c>
      <c r="C9" s="940"/>
      <c r="D9" s="943" t="s">
        <v>1</v>
      </c>
      <c r="E9" s="940"/>
      <c r="F9" s="943" t="s">
        <v>2</v>
      </c>
      <c r="G9" s="940"/>
      <c r="H9" s="943" t="s">
        <v>3</v>
      </c>
      <c r="I9" s="940"/>
      <c r="J9" s="943" t="s">
        <v>4</v>
      </c>
      <c r="K9" s="940"/>
      <c r="L9" s="943" t="s">
        <v>5</v>
      </c>
      <c r="M9" s="940"/>
      <c r="N9" s="943" t="s">
        <v>6</v>
      </c>
      <c r="O9" s="940"/>
      <c r="P9" s="943" t="s">
        <v>7</v>
      </c>
      <c r="Q9" s="940"/>
      <c r="R9" s="943" t="s">
        <v>8</v>
      </c>
      <c r="S9" s="940"/>
      <c r="T9" s="943" t="s">
        <v>186</v>
      </c>
      <c r="U9" s="944"/>
      <c r="W9" s="957" t="s">
        <v>9</v>
      </c>
      <c r="X9" s="958"/>
    </row>
    <row r="10" spans="1:24" ht="30" customHeight="1" thickBot="1" x14ac:dyDescent="0.25">
      <c r="A10" s="51" t="s">
        <v>73</v>
      </c>
      <c r="B10" s="50" t="s">
        <v>14</v>
      </c>
      <c r="C10" s="50" t="s">
        <v>15</v>
      </c>
      <c r="D10" s="671" t="s">
        <v>174</v>
      </c>
      <c r="E10" s="670" t="s">
        <v>173</v>
      </c>
      <c r="F10" s="671" t="s">
        <v>174</v>
      </c>
      <c r="G10" s="670" t="s">
        <v>173</v>
      </c>
      <c r="H10" s="671" t="s">
        <v>174</v>
      </c>
      <c r="I10" s="670" t="s">
        <v>173</v>
      </c>
      <c r="J10" s="671" t="s">
        <v>174</v>
      </c>
      <c r="K10" s="670" t="s">
        <v>173</v>
      </c>
      <c r="L10" s="671" t="s">
        <v>174</v>
      </c>
      <c r="M10" s="670" t="s">
        <v>173</v>
      </c>
      <c r="N10" s="671" t="s">
        <v>174</v>
      </c>
      <c r="O10" s="670" t="s">
        <v>173</v>
      </c>
      <c r="P10" s="671" t="s">
        <v>174</v>
      </c>
      <c r="Q10" s="670" t="s">
        <v>173</v>
      </c>
      <c r="R10" s="671" t="s">
        <v>174</v>
      </c>
      <c r="S10" s="670" t="s">
        <v>173</v>
      </c>
      <c r="T10" s="671" t="s">
        <v>174</v>
      </c>
      <c r="U10" s="672" t="s">
        <v>173</v>
      </c>
      <c r="W10" s="673" t="s">
        <v>174</v>
      </c>
      <c r="X10" s="674" t="s">
        <v>173</v>
      </c>
    </row>
    <row r="11" spans="1:24" ht="15" customHeight="1" x14ac:dyDescent="0.2">
      <c r="A11" s="104" t="s">
        <v>91</v>
      </c>
      <c r="B11" s="129"/>
      <c r="C11" s="130"/>
      <c r="D11" s="11"/>
      <c r="E11" s="12"/>
      <c r="F11" s="13"/>
      <c r="G11" s="12"/>
      <c r="H11" s="13"/>
      <c r="I11" s="12"/>
      <c r="J11" s="13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5"/>
      <c r="V11" s="776"/>
      <c r="W11" s="775"/>
      <c r="X11" s="21"/>
    </row>
    <row r="12" spans="1:24" s="20" customFormat="1" ht="15" customHeight="1" x14ac:dyDescent="0.2">
      <c r="A12" s="17" t="s">
        <v>16</v>
      </c>
      <c r="B12" s="18">
        <v>88</v>
      </c>
      <c r="C12" s="262"/>
      <c r="D12" s="19">
        <v>103</v>
      </c>
      <c r="E12" s="260"/>
      <c r="F12" s="18">
        <v>124</v>
      </c>
      <c r="G12" s="260"/>
      <c r="H12" s="18">
        <v>112</v>
      </c>
      <c r="I12" s="260"/>
      <c r="J12" s="18">
        <v>116</v>
      </c>
      <c r="K12" s="260"/>
      <c r="L12" s="18">
        <v>142</v>
      </c>
      <c r="M12" s="260"/>
      <c r="N12" s="18">
        <v>138</v>
      </c>
      <c r="O12" s="260"/>
      <c r="P12" s="18">
        <v>132</v>
      </c>
      <c r="Q12" s="268"/>
      <c r="R12" s="18">
        <f>65+49</f>
        <v>114</v>
      </c>
      <c r="S12" s="268"/>
      <c r="T12" s="92">
        <v>116</v>
      </c>
      <c r="U12" s="266"/>
      <c r="W12" s="16">
        <f t="shared" ref="W12:W18" si="0">AVERAGE(N12,L12,R12,T12,P12)</f>
        <v>128.4</v>
      </c>
      <c r="X12" s="264"/>
    </row>
    <row r="13" spans="1:24" s="20" customFormat="1" ht="15" customHeight="1" thickBot="1" x14ac:dyDescent="0.25">
      <c r="A13" s="22" t="s">
        <v>17</v>
      </c>
      <c r="B13" s="24">
        <v>124</v>
      </c>
      <c r="C13" s="263"/>
      <c r="D13" s="67">
        <v>115</v>
      </c>
      <c r="E13" s="261"/>
      <c r="F13" s="24">
        <v>123</v>
      </c>
      <c r="G13" s="261"/>
      <c r="H13" s="24">
        <v>138</v>
      </c>
      <c r="I13" s="261"/>
      <c r="J13" s="24">
        <v>156</v>
      </c>
      <c r="K13" s="261"/>
      <c r="L13" s="24">
        <v>164</v>
      </c>
      <c r="M13" s="261"/>
      <c r="N13" s="24">
        <v>168</v>
      </c>
      <c r="O13" s="261"/>
      <c r="P13" s="24">
        <v>174</v>
      </c>
      <c r="Q13" s="269"/>
      <c r="R13" s="24">
        <f>64+114</f>
        <v>178</v>
      </c>
      <c r="S13" s="269"/>
      <c r="T13" s="24">
        <v>187</v>
      </c>
      <c r="U13" s="267"/>
      <c r="W13" s="105">
        <f t="shared" si="0"/>
        <v>174.2</v>
      </c>
      <c r="X13" s="275"/>
    </row>
    <row r="14" spans="1:24" s="53" customFormat="1" ht="15" customHeight="1" thickBot="1" x14ac:dyDescent="0.25">
      <c r="A14" s="75" t="s">
        <v>18</v>
      </c>
      <c r="B14" s="68">
        <f t="shared" ref="B14:R14" si="1">SUM(B12:B13)</f>
        <v>212</v>
      </c>
      <c r="C14" s="77">
        <v>48</v>
      </c>
      <c r="D14" s="68">
        <f t="shared" si="1"/>
        <v>218</v>
      </c>
      <c r="E14" s="77">
        <v>30</v>
      </c>
      <c r="F14" s="68">
        <f t="shared" si="1"/>
        <v>247</v>
      </c>
      <c r="G14" s="77">
        <v>41</v>
      </c>
      <c r="H14" s="68">
        <f t="shared" si="1"/>
        <v>250</v>
      </c>
      <c r="I14" s="77">
        <v>43</v>
      </c>
      <c r="J14" s="68">
        <f t="shared" si="1"/>
        <v>272</v>
      </c>
      <c r="K14" s="77">
        <v>42</v>
      </c>
      <c r="L14" s="68">
        <f t="shared" si="1"/>
        <v>306</v>
      </c>
      <c r="M14" s="77">
        <v>53</v>
      </c>
      <c r="N14" s="407">
        <f t="shared" si="1"/>
        <v>306</v>
      </c>
      <c r="O14" s="77">
        <v>48</v>
      </c>
      <c r="P14" s="68">
        <f t="shared" si="1"/>
        <v>306</v>
      </c>
      <c r="Q14" s="77">
        <v>55</v>
      </c>
      <c r="R14" s="68">
        <f t="shared" si="1"/>
        <v>292</v>
      </c>
      <c r="S14" s="77">
        <v>47</v>
      </c>
      <c r="T14" s="68">
        <f t="shared" ref="T14:U14" si="2">SUM(T12:T13)</f>
        <v>303</v>
      </c>
      <c r="U14" s="825">
        <f t="shared" si="2"/>
        <v>0</v>
      </c>
      <c r="W14" s="272">
        <f t="shared" si="0"/>
        <v>302.60000000000002</v>
      </c>
      <c r="X14" s="273">
        <f>AVERAGE(O14,M14,S14,K14,Q14)</f>
        <v>49</v>
      </c>
    </row>
    <row r="15" spans="1:24" s="53" customFormat="1" ht="15" customHeight="1" x14ac:dyDescent="0.2">
      <c r="A15" s="119" t="s">
        <v>20</v>
      </c>
      <c r="B15" s="145">
        <v>49</v>
      </c>
      <c r="C15" s="155">
        <v>18</v>
      </c>
      <c r="D15" s="145">
        <v>52</v>
      </c>
      <c r="E15" s="156">
        <v>11</v>
      </c>
      <c r="F15" s="157">
        <v>72</v>
      </c>
      <c r="G15" s="156">
        <v>19</v>
      </c>
      <c r="H15" s="157">
        <v>64</v>
      </c>
      <c r="I15" s="156">
        <v>27</v>
      </c>
      <c r="J15" s="157">
        <v>62</v>
      </c>
      <c r="K15" s="156">
        <v>29</v>
      </c>
      <c r="L15" s="157">
        <v>50</v>
      </c>
      <c r="M15" s="156">
        <v>21</v>
      </c>
      <c r="N15" s="157">
        <v>50</v>
      </c>
      <c r="O15" s="156">
        <v>14</v>
      </c>
      <c r="P15" s="157">
        <v>56</v>
      </c>
      <c r="Q15" s="156">
        <v>23</v>
      </c>
      <c r="R15" s="157">
        <v>58</v>
      </c>
      <c r="S15" s="156">
        <v>21</v>
      </c>
      <c r="T15" s="408">
        <v>45</v>
      </c>
      <c r="U15" s="842"/>
      <c r="W15" s="270">
        <f t="shared" si="0"/>
        <v>51.8</v>
      </c>
      <c r="X15" s="271">
        <f t="shared" ref="X15:X18" si="3">AVERAGE(O15,M15,S15,K15,Q15)</f>
        <v>21.6</v>
      </c>
    </row>
    <row r="16" spans="1:24" s="53" customFormat="1" ht="15" customHeight="1" x14ac:dyDescent="0.2">
      <c r="A16" s="17" t="s">
        <v>92</v>
      </c>
      <c r="B16" s="145">
        <v>10</v>
      </c>
      <c r="C16" s="155">
        <v>4</v>
      </c>
      <c r="D16" s="145">
        <v>9</v>
      </c>
      <c r="E16" s="156">
        <v>4</v>
      </c>
      <c r="F16" s="157">
        <v>6</v>
      </c>
      <c r="G16" s="156">
        <v>2</v>
      </c>
      <c r="H16" s="157">
        <v>12</v>
      </c>
      <c r="I16" s="156">
        <v>0</v>
      </c>
      <c r="J16" s="157">
        <v>14</v>
      </c>
      <c r="K16" s="156">
        <v>2</v>
      </c>
      <c r="L16" s="157">
        <v>22</v>
      </c>
      <c r="M16" s="156">
        <v>2</v>
      </c>
      <c r="N16" s="157">
        <v>22</v>
      </c>
      <c r="O16" s="156">
        <v>4</v>
      </c>
      <c r="P16" s="157">
        <v>19</v>
      </c>
      <c r="Q16" s="156">
        <v>4</v>
      </c>
      <c r="R16" s="157">
        <v>24</v>
      </c>
      <c r="S16" s="156">
        <v>7</v>
      </c>
      <c r="T16" s="122">
        <v>25</v>
      </c>
      <c r="U16" s="843"/>
      <c r="W16" s="16">
        <f t="shared" si="0"/>
        <v>22.4</v>
      </c>
      <c r="X16" s="271">
        <f t="shared" si="3"/>
        <v>3.8</v>
      </c>
    </row>
    <row r="17" spans="1:24" s="53" customFormat="1" ht="15" customHeight="1" x14ac:dyDescent="0.2">
      <c r="A17" s="121" t="s">
        <v>185</v>
      </c>
      <c r="B17" s="158">
        <v>0</v>
      </c>
      <c r="C17" s="159">
        <v>0</v>
      </c>
      <c r="D17" s="158">
        <v>0</v>
      </c>
      <c r="E17" s="160">
        <v>0</v>
      </c>
      <c r="F17" s="161">
        <v>0</v>
      </c>
      <c r="G17" s="160">
        <v>0</v>
      </c>
      <c r="H17" s="161">
        <v>0</v>
      </c>
      <c r="I17" s="160">
        <v>0</v>
      </c>
      <c r="J17" s="161">
        <v>0</v>
      </c>
      <c r="K17" s="160">
        <v>0</v>
      </c>
      <c r="L17" s="161">
        <v>0</v>
      </c>
      <c r="M17" s="160">
        <v>0</v>
      </c>
      <c r="N17" s="161">
        <v>0</v>
      </c>
      <c r="O17" s="160">
        <v>0</v>
      </c>
      <c r="P17" s="161">
        <v>0</v>
      </c>
      <c r="Q17" s="160">
        <v>0</v>
      </c>
      <c r="R17" s="161">
        <v>0</v>
      </c>
      <c r="S17" s="160">
        <v>0</v>
      </c>
      <c r="T17" s="67">
        <v>0</v>
      </c>
      <c r="U17" s="844"/>
      <c r="W17" s="16">
        <f t="shared" si="0"/>
        <v>0</v>
      </c>
      <c r="X17" s="271">
        <f t="shared" si="3"/>
        <v>0</v>
      </c>
    </row>
    <row r="18" spans="1:24" s="20" customFormat="1" ht="15" customHeight="1" thickBot="1" x14ac:dyDescent="0.25">
      <c r="A18" s="686" t="s">
        <v>93</v>
      </c>
      <c r="B18" s="162"/>
      <c r="C18" s="163"/>
      <c r="D18" s="162"/>
      <c r="E18" s="163"/>
      <c r="F18" s="164">
        <v>0</v>
      </c>
      <c r="G18" s="165">
        <v>0</v>
      </c>
      <c r="H18" s="164">
        <v>0</v>
      </c>
      <c r="I18" s="165">
        <v>0</v>
      </c>
      <c r="J18" s="164">
        <v>2</v>
      </c>
      <c r="K18" s="165">
        <v>1</v>
      </c>
      <c r="L18" s="164">
        <v>0</v>
      </c>
      <c r="M18" s="165">
        <v>0</v>
      </c>
      <c r="N18" s="164">
        <v>0</v>
      </c>
      <c r="O18" s="165">
        <v>1</v>
      </c>
      <c r="P18" s="164">
        <v>0</v>
      </c>
      <c r="Q18" s="165">
        <v>0</v>
      </c>
      <c r="R18" s="164">
        <v>0</v>
      </c>
      <c r="S18" s="165">
        <v>0</v>
      </c>
      <c r="T18" s="133">
        <v>0</v>
      </c>
      <c r="U18" s="834"/>
      <c r="W18" s="25">
        <f t="shared" si="0"/>
        <v>0</v>
      </c>
      <c r="X18" s="271">
        <f t="shared" si="3"/>
        <v>0.4</v>
      </c>
    </row>
    <row r="19" spans="1:24" ht="18" customHeight="1" thickTop="1" thickBot="1" x14ac:dyDescent="0.25">
      <c r="A19" s="52" t="s">
        <v>68</v>
      </c>
      <c r="B19" s="979"/>
      <c r="C19" s="980"/>
      <c r="D19" s="979"/>
      <c r="E19" s="980"/>
      <c r="F19" s="979"/>
      <c r="G19" s="980"/>
      <c r="H19" s="979"/>
      <c r="I19" s="980"/>
      <c r="J19" s="979"/>
      <c r="K19" s="980"/>
      <c r="L19" s="979"/>
      <c r="M19" s="980"/>
      <c r="N19" s="979"/>
      <c r="O19" s="980"/>
      <c r="P19" s="979"/>
      <c r="Q19" s="980"/>
      <c r="R19" s="979"/>
      <c r="S19" s="980"/>
      <c r="T19" s="979"/>
      <c r="U19" s="981"/>
      <c r="W19" s="957"/>
      <c r="X19" s="958"/>
    </row>
    <row r="20" spans="1:24" ht="15" customHeight="1" x14ac:dyDescent="0.2">
      <c r="A20" s="568" t="s">
        <v>75</v>
      </c>
      <c r="B20" s="79"/>
      <c r="C20" s="82"/>
      <c r="D20" s="265"/>
      <c r="E20" s="82"/>
      <c r="F20" s="265"/>
      <c r="G20" s="82"/>
      <c r="H20" s="265"/>
      <c r="I20" s="82"/>
      <c r="J20" s="265"/>
      <c r="K20" s="82"/>
      <c r="L20" s="265"/>
      <c r="M20" s="82"/>
      <c r="N20" s="265"/>
      <c r="O20" s="82"/>
      <c r="P20" s="265"/>
      <c r="Q20" s="82"/>
      <c r="R20" s="265"/>
      <c r="S20" s="82"/>
      <c r="T20" s="265"/>
      <c r="U20" s="83"/>
      <c r="W20" s="642"/>
      <c r="X20" s="614" t="e">
        <f>AVERAGE(O20,M20,S20,U20,Q20)</f>
        <v>#DIV/0!</v>
      </c>
    </row>
    <row r="21" spans="1:24" ht="15" customHeight="1" x14ac:dyDescent="0.2">
      <c r="A21" s="569" t="s">
        <v>69</v>
      </c>
      <c r="B21" s="78"/>
      <c r="C21" s="80">
        <v>0.86</v>
      </c>
      <c r="D21" s="78"/>
      <c r="E21" s="80">
        <v>0.77</v>
      </c>
      <c r="F21" s="78"/>
      <c r="G21" s="80">
        <v>0.67</v>
      </c>
      <c r="H21" s="78"/>
      <c r="I21" s="80">
        <v>0.69</v>
      </c>
      <c r="J21" s="78"/>
      <c r="K21" s="80">
        <v>0.83</v>
      </c>
      <c r="L21" s="78"/>
      <c r="M21" s="80">
        <v>0.75</v>
      </c>
      <c r="N21" s="78"/>
      <c r="O21" s="80">
        <v>0.79</v>
      </c>
      <c r="P21" s="78"/>
      <c r="Q21" s="80">
        <v>0.76</v>
      </c>
      <c r="R21" s="78"/>
      <c r="S21" s="935"/>
      <c r="T21" s="281"/>
      <c r="U21" s="828"/>
      <c r="W21" s="643"/>
      <c r="X21" s="615">
        <f t="shared" ref="X21:X22" si="4">AVERAGE(O21,M21,S21,K21,Q21)</f>
        <v>0.78249999999999997</v>
      </c>
    </row>
    <row r="22" spans="1:24" ht="15" customHeight="1" x14ac:dyDescent="0.2">
      <c r="A22" s="463" t="s">
        <v>70</v>
      </c>
      <c r="B22" s="55"/>
      <c r="C22" s="81">
        <v>0.1</v>
      </c>
      <c r="D22" s="55"/>
      <c r="E22" s="81">
        <v>0.23</v>
      </c>
      <c r="F22" s="55"/>
      <c r="G22" s="81">
        <v>0.24</v>
      </c>
      <c r="H22" s="55"/>
      <c r="I22" s="81">
        <v>0.13</v>
      </c>
      <c r="J22" s="55"/>
      <c r="K22" s="81">
        <v>0.1</v>
      </c>
      <c r="L22" s="55"/>
      <c r="M22" s="81">
        <v>0.18</v>
      </c>
      <c r="N22" s="55"/>
      <c r="O22" s="81">
        <v>0.15</v>
      </c>
      <c r="P22" s="55"/>
      <c r="Q22" s="81">
        <v>0.18</v>
      </c>
      <c r="R22" s="55"/>
      <c r="S22" s="936"/>
      <c r="T22" s="282"/>
      <c r="U22" s="835"/>
      <c r="W22" s="616"/>
      <c r="X22" s="615">
        <f t="shared" si="4"/>
        <v>0.15249999999999997</v>
      </c>
    </row>
    <row r="23" spans="1:24" ht="15" customHeight="1" thickBot="1" x14ac:dyDescent="0.25">
      <c r="A23" s="54" t="s">
        <v>72</v>
      </c>
      <c r="B23" s="56"/>
      <c r="C23" s="57"/>
      <c r="D23" s="56"/>
      <c r="E23" s="57"/>
      <c r="F23" s="56"/>
      <c r="G23" s="57"/>
      <c r="H23" s="56"/>
      <c r="I23" s="57"/>
      <c r="J23" s="56"/>
      <c r="K23" s="57"/>
      <c r="L23" s="56"/>
      <c r="M23" s="57"/>
      <c r="N23" s="56"/>
      <c r="O23" s="57"/>
      <c r="P23" s="56"/>
      <c r="Q23" s="57"/>
      <c r="R23" s="56"/>
      <c r="S23" s="57"/>
      <c r="T23" s="56"/>
      <c r="U23" s="58"/>
      <c r="W23" s="617"/>
      <c r="X23" s="816" t="e">
        <f>AVERAGE(O23,M23,S23,U23,Q23)</f>
        <v>#DIV/0!</v>
      </c>
    </row>
    <row r="24" spans="1:24" ht="18" customHeight="1" thickTop="1" thickBot="1" x14ac:dyDescent="0.25">
      <c r="A24" s="230" t="s">
        <v>74</v>
      </c>
      <c r="B24" s="967"/>
      <c r="C24" s="968"/>
      <c r="D24" s="967"/>
      <c r="E24" s="968"/>
      <c r="F24" s="967"/>
      <c r="G24" s="968"/>
      <c r="H24" s="967"/>
      <c r="I24" s="968"/>
      <c r="J24" s="967"/>
      <c r="K24" s="968"/>
      <c r="L24" s="967"/>
      <c r="M24" s="968"/>
      <c r="N24" s="967"/>
      <c r="O24" s="968"/>
      <c r="P24" s="967"/>
      <c r="Q24" s="968"/>
      <c r="R24" s="967"/>
      <c r="S24" s="968"/>
      <c r="T24" s="967"/>
      <c r="U24" s="962"/>
      <c r="V24" s="231"/>
      <c r="W24" s="961"/>
      <c r="X24" s="962"/>
    </row>
    <row r="25" spans="1:24" ht="15" customHeight="1" thickBot="1" x14ac:dyDescent="0.25">
      <c r="A25" s="571" t="s">
        <v>94</v>
      </c>
      <c r="B25" s="232"/>
      <c r="C25" s="233">
        <v>26.4</v>
      </c>
      <c r="D25" s="232"/>
      <c r="E25" s="233">
        <v>26.2</v>
      </c>
      <c r="F25" s="232"/>
      <c r="G25" s="233">
        <v>26.4</v>
      </c>
      <c r="H25" s="232"/>
      <c r="I25" s="233">
        <v>26.2</v>
      </c>
      <c r="J25" s="232"/>
      <c r="K25" s="233">
        <v>26</v>
      </c>
      <c r="L25" s="232"/>
      <c r="M25" s="233">
        <v>26.3</v>
      </c>
      <c r="N25" s="232"/>
      <c r="O25" s="233">
        <v>26.5</v>
      </c>
      <c r="P25" s="232"/>
      <c r="Q25" s="233">
        <v>26.8</v>
      </c>
      <c r="R25" s="232"/>
      <c r="S25" s="233">
        <v>26.3</v>
      </c>
      <c r="T25" s="232"/>
      <c r="U25" s="234"/>
      <c r="V25" s="231"/>
      <c r="W25" s="235"/>
      <c r="X25" s="612">
        <f>AVERAGE(O25,M25,S25,K25,Q25)</f>
        <v>26.380000000000003</v>
      </c>
    </row>
    <row r="26" spans="1:24" ht="18" customHeight="1" thickTop="1" thickBot="1" x14ac:dyDescent="0.25">
      <c r="A26" s="63" t="s">
        <v>21</v>
      </c>
      <c r="B26" s="979"/>
      <c r="C26" s="980"/>
      <c r="D26" s="979"/>
      <c r="E26" s="980"/>
      <c r="F26" s="979"/>
      <c r="G26" s="980"/>
      <c r="H26" s="979"/>
      <c r="I26" s="980"/>
      <c r="J26" s="979"/>
      <c r="K26" s="980"/>
      <c r="L26" s="979"/>
      <c r="M26" s="980"/>
      <c r="N26" s="979"/>
      <c r="O26" s="980"/>
      <c r="P26" s="979"/>
      <c r="Q26" s="980"/>
      <c r="R26" s="979"/>
      <c r="S26" s="980"/>
      <c r="T26" s="979"/>
      <c r="U26" s="981"/>
      <c r="W26" s="957"/>
      <c r="X26" s="958"/>
    </row>
    <row r="27" spans="1:24" ht="15" customHeight="1" x14ac:dyDescent="0.2">
      <c r="A27" s="463" t="s">
        <v>22</v>
      </c>
      <c r="B27" s="33"/>
      <c r="C27" s="35">
        <v>751</v>
      </c>
      <c r="D27" s="32"/>
      <c r="E27" s="34">
        <v>774</v>
      </c>
      <c r="F27" s="33"/>
      <c r="G27" s="34">
        <v>795</v>
      </c>
      <c r="H27" s="33"/>
      <c r="I27" s="34">
        <v>810</v>
      </c>
      <c r="J27" s="33"/>
      <c r="K27" s="34">
        <v>783</v>
      </c>
      <c r="L27" s="33"/>
      <c r="M27" s="34">
        <v>779</v>
      </c>
      <c r="N27" s="33"/>
      <c r="O27" s="34">
        <v>989</v>
      </c>
      <c r="P27" s="33"/>
      <c r="Q27" s="34">
        <v>997</v>
      </c>
      <c r="R27" s="33"/>
      <c r="S27" s="34">
        <v>1035</v>
      </c>
      <c r="T27" s="33"/>
      <c r="U27" s="822"/>
      <c r="W27" s="36"/>
      <c r="X27" s="271">
        <f t="shared" ref="X27:X31" si="5">AVERAGE(O27,M27,S27,K27,Q27)</f>
        <v>916.6</v>
      </c>
    </row>
    <row r="28" spans="1:24" ht="15" customHeight="1" x14ac:dyDescent="0.2">
      <c r="A28" s="463" t="s">
        <v>23</v>
      </c>
      <c r="B28" s="33"/>
      <c r="C28" s="35">
        <v>4448</v>
      </c>
      <c r="D28" s="32"/>
      <c r="E28" s="34">
        <v>4273</v>
      </c>
      <c r="F28" s="33"/>
      <c r="G28" s="34">
        <v>4741</v>
      </c>
      <c r="H28" s="33"/>
      <c r="I28" s="34">
        <v>4742</v>
      </c>
      <c r="J28" s="33"/>
      <c r="K28" s="34">
        <v>5175</v>
      </c>
      <c r="L28" s="33"/>
      <c r="M28" s="34">
        <v>5297</v>
      </c>
      <c r="N28" s="33"/>
      <c r="O28" s="34">
        <v>5191</v>
      </c>
      <c r="P28" s="33"/>
      <c r="Q28" s="34">
        <v>5394</v>
      </c>
      <c r="R28" s="33"/>
      <c r="S28" s="34">
        <v>5551</v>
      </c>
      <c r="T28" s="33"/>
      <c r="U28" s="822"/>
      <c r="W28" s="38"/>
      <c r="X28" s="271">
        <f t="shared" si="5"/>
        <v>5321.6</v>
      </c>
    </row>
    <row r="29" spans="1:24" ht="15" customHeight="1" x14ac:dyDescent="0.2">
      <c r="A29" s="463" t="s">
        <v>24</v>
      </c>
      <c r="B29" s="33"/>
      <c r="C29" s="35">
        <v>820</v>
      </c>
      <c r="D29" s="32"/>
      <c r="E29" s="34">
        <v>977</v>
      </c>
      <c r="F29" s="33"/>
      <c r="G29" s="34">
        <v>1113</v>
      </c>
      <c r="H29" s="33"/>
      <c r="I29" s="34">
        <v>974</v>
      </c>
      <c r="J29" s="33"/>
      <c r="K29" s="34">
        <v>963</v>
      </c>
      <c r="L29" s="33"/>
      <c r="M29" s="34">
        <v>901</v>
      </c>
      <c r="N29" s="33"/>
      <c r="O29" s="34">
        <v>894</v>
      </c>
      <c r="P29" s="33"/>
      <c r="Q29" s="34">
        <v>791</v>
      </c>
      <c r="R29" s="33"/>
      <c r="S29" s="34">
        <v>900</v>
      </c>
      <c r="T29" s="33"/>
      <c r="U29" s="822"/>
      <c r="W29" s="38"/>
      <c r="X29" s="271">
        <f t="shared" si="5"/>
        <v>889.8</v>
      </c>
    </row>
    <row r="30" spans="1:24" ht="15" customHeight="1" thickBot="1" x14ac:dyDescent="0.25">
      <c r="A30" s="463" t="s">
        <v>25</v>
      </c>
      <c r="B30" s="69"/>
      <c r="C30" s="35">
        <v>128</v>
      </c>
      <c r="D30" s="32"/>
      <c r="E30" s="34">
        <v>73</v>
      </c>
      <c r="F30" s="33"/>
      <c r="G30" s="34">
        <v>53</v>
      </c>
      <c r="H30" s="33"/>
      <c r="I30" s="34">
        <v>100</v>
      </c>
      <c r="J30" s="33"/>
      <c r="K30" s="34">
        <v>113</v>
      </c>
      <c r="L30" s="33"/>
      <c r="M30" s="34">
        <v>154</v>
      </c>
      <c r="N30" s="33"/>
      <c r="O30" s="34">
        <v>198</v>
      </c>
      <c r="P30" s="33"/>
      <c r="Q30" s="34">
        <v>233</v>
      </c>
      <c r="R30" s="33"/>
      <c r="S30" s="34">
        <v>220</v>
      </c>
      <c r="T30" s="69"/>
      <c r="U30" s="830"/>
      <c r="W30" s="38"/>
      <c r="X30" s="271">
        <f t="shared" si="5"/>
        <v>183.6</v>
      </c>
    </row>
    <row r="31" spans="1:24" ht="15" customHeight="1" thickBot="1" x14ac:dyDescent="0.25">
      <c r="A31" s="41" t="s">
        <v>26</v>
      </c>
      <c r="B31" s="72"/>
      <c r="C31" s="73">
        <f>SUM(C27:C30)</f>
        <v>6147</v>
      </c>
      <c r="D31" s="71"/>
      <c r="E31" s="70">
        <f>SUM(E27:E30)</f>
        <v>6097</v>
      </c>
      <c r="F31" s="72"/>
      <c r="G31" s="70">
        <f>SUM(G27:G30)</f>
        <v>6702</v>
      </c>
      <c r="H31" s="72"/>
      <c r="I31" s="70">
        <f>SUM(I27:I30)</f>
        <v>6626</v>
      </c>
      <c r="J31" s="72"/>
      <c r="K31" s="70">
        <f>SUM(K27:K30)</f>
        <v>7034</v>
      </c>
      <c r="L31" s="72"/>
      <c r="M31" s="70">
        <f>SUM(M27:M30)</f>
        <v>7131</v>
      </c>
      <c r="N31" s="72"/>
      <c r="O31" s="70">
        <f>SUM(O27:O30)</f>
        <v>7272</v>
      </c>
      <c r="P31" s="72"/>
      <c r="Q31" s="70">
        <f>SUM(Q27:Q30)</f>
        <v>7415</v>
      </c>
      <c r="R31" s="72"/>
      <c r="S31" s="70">
        <f>SUM(S27:S30)</f>
        <v>7706</v>
      </c>
      <c r="T31" s="72"/>
      <c r="U31" s="831">
        <f>SUM(U27:U30)</f>
        <v>0</v>
      </c>
      <c r="W31" s="45"/>
      <c r="X31" s="60">
        <f t="shared" si="5"/>
        <v>7311.6</v>
      </c>
    </row>
    <row r="32" spans="1:24" ht="15" customHeight="1" thickTop="1" thickBot="1" x14ac:dyDescent="0.25">
      <c r="A32" s="43"/>
      <c r="B32" s="59"/>
      <c r="C32" s="61"/>
      <c r="D32" s="59"/>
      <c r="E32" s="62"/>
      <c r="F32" s="59"/>
      <c r="G32" s="62"/>
      <c r="H32" s="59"/>
      <c r="I32" s="62"/>
      <c r="J32" s="59"/>
      <c r="K32" s="62"/>
      <c r="L32" s="59"/>
      <c r="M32" s="62"/>
      <c r="N32" s="59"/>
      <c r="O32" s="62"/>
      <c r="P32" s="59"/>
      <c r="Q32" s="62"/>
      <c r="R32" s="59"/>
      <c r="S32" s="62"/>
      <c r="T32" s="59"/>
      <c r="U32" s="62"/>
      <c r="V32" s="66"/>
      <c r="W32" s="65"/>
      <c r="X32" s="61"/>
    </row>
    <row r="33" spans="1:27" ht="18" customHeight="1" thickTop="1" thickBot="1" x14ac:dyDescent="0.25">
      <c r="A33" s="214" t="s">
        <v>27</v>
      </c>
      <c r="B33" s="955" t="s">
        <v>28</v>
      </c>
      <c r="C33" s="966"/>
      <c r="D33" s="955" t="s">
        <v>29</v>
      </c>
      <c r="E33" s="956"/>
      <c r="F33" s="955" t="s">
        <v>30</v>
      </c>
      <c r="G33" s="956"/>
      <c r="H33" s="955" t="s">
        <v>31</v>
      </c>
      <c r="I33" s="956"/>
      <c r="J33" s="955" t="s">
        <v>32</v>
      </c>
      <c r="K33" s="956"/>
      <c r="L33" s="955" t="s">
        <v>33</v>
      </c>
      <c r="M33" s="956"/>
      <c r="N33" s="955" t="s">
        <v>34</v>
      </c>
      <c r="O33" s="956"/>
      <c r="P33" s="955" t="s">
        <v>35</v>
      </c>
      <c r="Q33" s="956"/>
      <c r="R33" s="955" t="s">
        <v>36</v>
      </c>
      <c r="S33" s="956"/>
      <c r="T33" s="955" t="s">
        <v>187</v>
      </c>
      <c r="U33" s="963"/>
      <c r="V33" s="431"/>
      <c r="W33" s="961" t="s">
        <v>9</v>
      </c>
      <c r="X33" s="962"/>
      <c r="Y33" s="42"/>
      <c r="Z33" s="42"/>
      <c r="AA33" s="43"/>
    </row>
    <row r="34" spans="1:27" ht="15" customHeight="1" x14ac:dyDescent="0.2">
      <c r="A34" s="432" t="s">
        <v>143</v>
      </c>
      <c r="B34" s="215"/>
      <c r="C34" s="216">
        <v>0.314</v>
      </c>
      <c r="D34" s="217"/>
      <c r="E34" s="218">
        <v>0.32600000000000001</v>
      </c>
      <c r="F34" s="219"/>
      <c r="G34" s="218">
        <v>0.33300000000000002</v>
      </c>
      <c r="H34" s="219"/>
      <c r="I34" s="218">
        <v>0.33400000000000002</v>
      </c>
      <c r="J34" s="219"/>
      <c r="K34" s="218">
        <v>0.39300000000000002</v>
      </c>
      <c r="L34" s="219"/>
      <c r="M34" s="218">
        <v>0.44</v>
      </c>
      <c r="N34" s="219"/>
      <c r="O34" s="218">
        <v>0.43</v>
      </c>
      <c r="P34" s="219"/>
      <c r="Q34" s="218">
        <v>0.44</v>
      </c>
      <c r="R34" s="219"/>
      <c r="S34" s="218">
        <v>0.437</v>
      </c>
      <c r="T34" s="219"/>
      <c r="U34" s="220">
        <v>0.41599999999999998</v>
      </c>
      <c r="V34" s="428"/>
      <c r="W34" s="817"/>
      <c r="X34" s="614">
        <f>AVERAGE(O34,M34,S34,U34,Q34)</f>
        <v>0.43259999999999998</v>
      </c>
      <c r="Y34" s="42"/>
      <c r="Z34" s="42"/>
      <c r="AA34" s="43"/>
    </row>
    <row r="35" spans="1:27" ht="15" customHeight="1" x14ac:dyDescent="0.2">
      <c r="A35" s="433" t="s">
        <v>144</v>
      </c>
      <c r="B35" s="223"/>
      <c r="C35" s="224">
        <v>0.10299999999999999</v>
      </c>
      <c r="D35" s="223"/>
      <c r="E35" s="224">
        <v>9.4E-2</v>
      </c>
      <c r="F35" s="225"/>
      <c r="G35" s="224">
        <v>0.108</v>
      </c>
      <c r="H35" s="225"/>
      <c r="I35" s="224">
        <v>9.7000000000000003E-2</v>
      </c>
      <c r="J35" s="225"/>
      <c r="K35" s="224">
        <v>0.105</v>
      </c>
      <c r="L35" s="225"/>
      <c r="M35" s="224">
        <v>0.106</v>
      </c>
      <c r="N35" s="225"/>
      <c r="O35" s="224">
        <v>0.10299999999999999</v>
      </c>
      <c r="P35" s="225"/>
      <c r="Q35" s="224">
        <v>8.8999999999999996E-2</v>
      </c>
      <c r="R35" s="225"/>
      <c r="S35" s="224">
        <v>9.5000000000000001E-2</v>
      </c>
      <c r="T35" s="225"/>
      <c r="U35" s="226">
        <v>9.7000000000000003E-2</v>
      </c>
      <c r="V35" s="428"/>
      <c r="W35" s="573"/>
      <c r="X35" s="615">
        <f t="shared" ref="X35:X36" si="6">AVERAGE(O35,M35,S35,U35,Q35)</f>
        <v>9.8000000000000004E-2</v>
      </c>
      <c r="Y35" s="42"/>
      <c r="Z35" s="42"/>
      <c r="AA35" s="43"/>
    </row>
    <row r="36" spans="1:27" ht="15" customHeight="1" thickBot="1" x14ac:dyDescent="0.25">
      <c r="A36" s="229" t="s">
        <v>147</v>
      </c>
      <c r="B36" s="973">
        <f>1-C34-C35</f>
        <v>0.58299999999999996</v>
      </c>
      <c r="C36" s="970"/>
      <c r="D36" s="973">
        <f>1-E34-E35</f>
        <v>0.57999999999999996</v>
      </c>
      <c r="E36" s="970"/>
      <c r="F36" s="973">
        <f>1-G34-G35</f>
        <v>0.55900000000000005</v>
      </c>
      <c r="G36" s="970"/>
      <c r="H36" s="973">
        <f>1-I34-I35</f>
        <v>0.56899999999999995</v>
      </c>
      <c r="I36" s="970"/>
      <c r="J36" s="973">
        <f>1-K34-K35</f>
        <v>0.502</v>
      </c>
      <c r="K36" s="970"/>
      <c r="L36" s="973">
        <f>1-M34-M35</f>
        <v>0.45400000000000007</v>
      </c>
      <c r="M36" s="970"/>
      <c r="N36" s="973">
        <f>1-O34-O35</f>
        <v>0.46700000000000008</v>
      </c>
      <c r="O36" s="970"/>
      <c r="P36" s="973">
        <f>1-Q34-Q35</f>
        <v>0.47100000000000009</v>
      </c>
      <c r="Q36" s="970"/>
      <c r="R36" s="973">
        <f>1-S34-S35</f>
        <v>0.46799999999999997</v>
      </c>
      <c r="S36" s="970"/>
      <c r="T36" s="973">
        <f>1-U34-U35</f>
        <v>0.4870000000000001</v>
      </c>
      <c r="U36" s="972"/>
      <c r="V36" s="428"/>
      <c r="W36" s="982">
        <f t="shared" ref="W36" si="7">AVERAGE(N36,L36,R36,T36,P36)</f>
        <v>0.46940000000000009</v>
      </c>
      <c r="X36" s="983" t="e">
        <f t="shared" si="6"/>
        <v>#DIV/0!</v>
      </c>
      <c r="Y36" s="44"/>
      <c r="Z36" s="42"/>
      <c r="AA36" s="43"/>
    </row>
    <row r="37" spans="1:27" s="2" customFormat="1" ht="18" customHeight="1" thickTop="1" thickBot="1" x14ac:dyDescent="0.25">
      <c r="A37" s="181" t="s">
        <v>65</v>
      </c>
      <c r="B37" s="237" t="s">
        <v>37</v>
      </c>
      <c r="C37" s="238" t="s">
        <v>71</v>
      </c>
      <c r="D37" s="237" t="s">
        <v>37</v>
      </c>
      <c r="E37" s="238" t="s">
        <v>71</v>
      </c>
      <c r="F37" s="237" t="s">
        <v>37</v>
      </c>
      <c r="G37" s="238" t="s">
        <v>71</v>
      </c>
      <c r="H37" s="237" t="s">
        <v>37</v>
      </c>
      <c r="I37" s="238" t="s">
        <v>71</v>
      </c>
      <c r="J37" s="237" t="s">
        <v>37</v>
      </c>
      <c r="K37" s="238" t="s">
        <v>71</v>
      </c>
      <c r="L37" s="237" t="s">
        <v>37</v>
      </c>
      <c r="M37" s="238" t="s">
        <v>71</v>
      </c>
      <c r="N37" s="237" t="s">
        <v>37</v>
      </c>
      <c r="O37" s="238" t="s">
        <v>71</v>
      </c>
      <c r="P37" s="237" t="s">
        <v>37</v>
      </c>
      <c r="Q37" s="238" t="s">
        <v>71</v>
      </c>
      <c r="R37" s="237" t="s">
        <v>37</v>
      </c>
      <c r="S37" s="238" t="s">
        <v>71</v>
      </c>
      <c r="T37" s="237" t="s">
        <v>37</v>
      </c>
      <c r="U37" s="239" t="s">
        <v>71</v>
      </c>
      <c r="V37" s="240"/>
      <c r="W37" s="644" t="s">
        <v>37</v>
      </c>
      <c r="X37" s="645" t="s">
        <v>71</v>
      </c>
    </row>
    <row r="38" spans="1:27" ht="15" customHeight="1" x14ac:dyDescent="0.2">
      <c r="A38" s="243" t="s">
        <v>66</v>
      </c>
      <c r="B38" s="244"/>
      <c r="C38" s="245">
        <f>B38/B15</f>
        <v>0</v>
      </c>
      <c r="D38" s="244"/>
      <c r="E38" s="245">
        <f>D38/D15</f>
        <v>0</v>
      </c>
      <c r="F38" s="791"/>
      <c r="G38" s="871"/>
      <c r="H38" s="244">
        <v>26</v>
      </c>
      <c r="I38" s="245">
        <f>H38/H15</f>
        <v>0.40625</v>
      </c>
      <c r="J38" s="244">
        <v>19</v>
      </c>
      <c r="K38" s="245">
        <f>J38/J15</f>
        <v>0.30645161290322581</v>
      </c>
      <c r="L38" s="244">
        <v>13</v>
      </c>
      <c r="M38" s="245">
        <f>L38/L15</f>
        <v>0.26</v>
      </c>
      <c r="N38" s="244">
        <v>13</v>
      </c>
      <c r="O38" s="245">
        <f>N38/N15</f>
        <v>0.26</v>
      </c>
      <c r="P38" s="244">
        <v>15</v>
      </c>
      <c r="Q38" s="245">
        <f>P38/P15</f>
        <v>0.26785714285714285</v>
      </c>
      <c r="R38" s="244">
        <v>19</v>
      </c>
      <c r="S38" s="245">
        <f>R38/R15</f>
        <v>0.32758620689655171</v>
      </c>
      <c r="T38" s="244"/>
      <c r="U38" s="418">
        <f>T38/T15</f>
        <v>0</v>
      </c>
      <c r="V38" s="231"/>
      <c r="W38" s="604">
        <f>AVERAGE(N38,L38,R38,T38,P38)</f>
        <v>15</v>
      </c>
      <c r="X38" s="605">
        <f>AVERAGE(O38,M38,S38,U38,Q38)</f>
        <v>0.22308866995073892</v>
      </c>
    </row>
    <row r="39" spans="1:27" ht="15" customHeight="1" thickBot="1" x14ac:dyDescent="0.25">
      <c r="A39" s="248" t="s">
        <v>67</v>
      </c>
      <c r="B39" s="249"/>
      <c r="C39" s="250">
        <f>B39/B16</f>
        <v>0</v>
      </c>
      <c r="D39" s="249"/>
      <c r="E39" s="250">
        <f>D39/D16</f>
        <v>0</v>
      </c>
      <c r="F39" s="792"/>
      <c r="G39" s="872"/>
      <c r="H39" s="249">
        <v>11</v>
      </c>
      <c r="I39" s="250">
        <f>H39/H16</f>
        <v>0.91666666666666663</v>
      </c>
      <c r="J39" s="249">
        <v>11</v>
      </c>
      <c r="K39" s="250">
        <f>J39/J16</f>
        <v>0.7857142857142857</v>
      </c>
      <c r="L39" s="249">
        <v>19</v>
      </c>
      <c r="M39" s="250">
        <f>L39/L16</f>
        <v>0.86363636363636365</v>
      </c>
      <c r="N39" s="249">
        <v>19</v>
      </c>
      <c r="O39" s="250">
        <f>N39/N16</f>
        <v>0.86363636363636365</v>
      </c>
      <c r="P39" s="249">
        <v>13</v>
      </c>
      <c r="Q39" s="250">
        <f>P39/P16</f>
        <v>0.68421052631578949</v>
      </c>
      <c r="R39" s="249">
        <v>16</v>
      </c>
      <c r="S39" s="250">
        <f>R39/R16</f>
        <v>0.66666666666666663</v>
      </c>
      <c r="T39" s="249"/>
      <c r="U39" s="251">
        <f>T39/T16</f>
        <v>0</v>
      </c>
      <c r="V39" s="231"/>
      <c r="W39" s="252">
        <f>AVERAGE(N39,L39,R39,T39,P39)</f>
        <v>16.75</v>
      </c>
      <c r="X39" s="253">
        <f>AVERAGE(O39,M39,S39,U39,Q39)</f>
        <v>0.61562998405103664</v>
      </c>
    </row>
    <row r="40" spans="1:27" ht="15" customHeight="1" thickTop="1" x14ac:dyDescent="0.2">
      <c r="A40" s="27" t="s">
        <v>175</v>
      </c>
      <c r="B40" s="28"/>
      <c r="C40" s="29"/>
      <c r="D40" s="28"/>
      <c r="E40" s="29"/>
      <c r="F40" s="28"/>
      <c r="G40" s="29"/>
      <c r="H40" s="28"/>
      <c r="I40" s="29"/>
      <c r="J40" s="28"/>
      <c r="K40" s="29"/>
      <c r="L40" s="28"/>
      <c r="M40" s="29"/>
      <c r="N40" s="28"/>
      <c r="O40" s="29"/>
      <c r="P40" s="28"/>
      <c r="Q40" s="29"/>
      <c r="R40" s="28"/>
      <c r="S40" s="29"/>
      <c r="T40" s="28"/>
      <c r="U40" s="29"/>
      <c r="V40" s="66"/>
      <c r="W40" s="30"/>
      <c r="X40" s="31"/>
    </row>
    <row r="41" spans="1:27" s="1" customFormat="1" ht="15" customHeight="1" thickBot="1" x14ac:dyDescent="0.25">
      <c r="A41" s="310"/>
      <c r="B41" s="311"/>
      <c r="C41" s="429"/>
      <c r="D41" s="311"/>
      <c r="E41" s="429"/>
      <c r="F41" s="311"/>
      <c r="G41" s="429"/>
      <c r="H41" s="311"/>
      <c r="I41" s="429"/>
      <c r="J41" s="311"/>
      <c r="K41" s="429"/>
      <c r="L41" s="311"/>
      <c r="M41" s="429"/>
      <c r="N41" s="311"/>
      <c r="O41" s="429"/>
      <c r="P41" s="311"/>
      <c r="Q41" s="429"/>
      <c r="R41" s="311"/>
      <c r="S41" s="429"/>
      <c r="T41" s="311"/>
      <c r="U41" s="429"/>
      <c r="V41" s="182"/>
      <c r="W41" s="182"/>
      <c r="X41" s="430"/>
    </row>
    <row r="42" spans="1:27" s="1" customFormat="1" ht="18.75" customHeight="1" thickTop="1" thickBot="1" x14ac:dyDescent="0.25">
      <c r="A42" s="214" t="s">
        <v>161</v>
      </c>
      <c r="B42" s="955" t="s">
        <v>28</v>
      </c>
      <c r="C42" s="966"/>
      <c r="D42" s="955" t="s">
        <v>29</v>
      </c>
      <c r="E42" s="956"/>
      <c r="F42" s="955" t="s">
        <v>30</v>
      </c>
      <c r="G42" s="956"/>
      <c r="H42" s="955" t="s">
        <v>31</v>
      </c>
      <c r="I42" s="956"/>
      <c r="J42" s="955" t="s">
        <v>32</v>
      </c>
      <c r="K42" s="956"/>
      <c r="L42" s="955" t="s">
        <v>33</v>
      </c>
      <c r="M42" s="956"/>
      <c r="N42" s="955" t="s">
        <v>34</v>
      </c>
      <c r="O42" s="956"/>
      <c r="P42" s="955" t="s">
        <v>35</v>
      </c>
      <c r="Q42" s="956"/>
      <c r="R42" s="955" t="s">
        <v>36</v>
      </c>
      <c r="S42" s="956"/>
      <c r="T42" s="955" t="s">
        <v>187</v>
      </c>
      <c r="U42" s="963"/>
      <c r="V42" s="182"/>
      <c r="W42" s="961" t="s">
        <v>9</v>
      </c>
      <c r="X42" s="962"/>
    </row>
    <row r="43" spans="1:27" s="1" customFormat="1" ht="24" x14ac:dyDescent="0.2">
      <c r="A43" s="504" t="s">
        <v>167</v>
      </c>
      <c r="B43" s="505"/>
      <c r="C43" s="506"/>
      <c r="D43" s="505"/>
      <c r="E43" s="507"/>
      <c r="F43" s="505"/>
      <c r="G43" s="507"/>
      <c r="H43" s="505"/>
      <c r="I43" s="507"/>
      <c r="J43" s="505"/>
      <c r="K43" s="507"/>
      <c r="L43" s="505"/>
      <c r="M43" s="507"/>
      <c r="N43" s="505"/>
      <c r="O43" s="507"/>
      <c r="P43" s="505"/>
      <c r="Q43" s="507"/>
      <c r="R43" s="505"/>
      <c r="S43" s="507"/>
      <c r="T43" s="505"/>
      <c r="U43" s="508"/>
      <c r="V43" s="509"/>
      <c r="W43" s="812"/>
      <c r="X43" s="813"/>
    </row>
    <row r="44" spans="1:27" s="1" customFormat="1" ht="24" x14ac:dyDescent="0.2">
      <c r="A44" s="534" t="s">
        <v>140</v>
      </c>
      <c r="B44" s="225"/>
      <c r="C44" s="421">
        <v>12</v>
      </c>
      <c r="D44" s="225"/>
      <c r="E44" s="421">
        <v>13</v>
      </c>
      <c r="F44" s="225"/>
      <c r="G44" s="421">
        <v>14</v>
      </c>
      <c r="H44" s="225"/>
      <c r="I44" s="421">
        <v>14</v>
      </c>
      <c r="J44" s="225"/>
      <c r="K44" s="421">
        <v>14</v>
      </c>
      <c r="L44" s="225"/>
      <c r="M44" s="421">
        <v>14</v>
      </c>
      <c r="N44" s="225"/>
      <c r="O44" s="421">
        <v>14</v>
      </c>
      <c r="P44" s="225"/>
      <c r="Q44" s="421">
        <v>13</v>
      </c>
      <c r="R44" s="225"/>
      <c r="S44" s="421">
        <v>9</v>
      </c>
      <c r="T44" s="422"/>
      <c r="U44" s="646"/>
      <c r="V44" s="182"/>
      <c r="W44" s="573"/>
      <c r="X44" s="297">
        <f>AVERAGE(O44,M44,S44,U44,Q44)</f>
        <v>12.5</v>
      </c>
    </row>
    <row r="45" spans="1:27" s="1" customFormat="1" ht="24" x14ac:dyDescent="0.2">
      <c r="A45" s="534" t="s">
        <v>142</v>
      </c>
      <c r="B45" s="422"/>
      <c r="C45" s="515">
        <v>12</v>
      </c>
      <c r="D45" s="422"/>
      <c r="E45" s="515">
        <v>13</v>
      </c>
      <c r="F45" s="422"/>
      <c r="G45" s="515">
        <v>14</v>
      </c>
      <c r="H45" s="422"/>
      <c r="I45" s="515">
        <v>14</v>
      </c>
      <c r="J45" s="422"/>
      <c r="K45" s="515">
        <v>14</v>
      </c>
      <c r="L45" s="422"/>
      <c r="M45" s="515">
        <v>14</v>
      </c>
      <c r="N45" s="422"/>
      <c r="O45" s="515">
        <v>14</v>
      </c>
      <c r="P45" s="422"/>
      <c r="Q45" s="515">
        <v>13</v>
      </c>
      <c r="R45" s="422"/>
      <c r="S45" s="515">
        <v>9</v>
      </c>
      <c r="T45" s="422"/>
      <c r="U45" s="647"/>
      <c r="V45" s="182"/>
      <c r="W45" s="574"/>
      <c r="X45" s="575">
        <f>AVERAGE(O45,M45,S45,U45,Q45)</f>
        <v>12.5</v>
      </c>
    </row>
    <row r="46" spans="1:27" s="1" customFormat="1" ht="15" customHeight="1" thickBot="1" x14ac:dyDescent="0.25">
      <c r="A46" s="581" t="s">
        <v>141</v>
      </c>
      <c r="B46" s="582"/>
      <c r="C46" s="583">
        <v>10.38</v>
      </c>
      <c r="D46" s="582"/>
      <c r="E46" s="583">
        <f>0.1+11.04</f>
        <v>11.139999999999999</v>
      </c>
      <c r="F46" s="582"/>
      <c r="G46" s="583">
        <v>11.89</v>
      </c>
      <c r="H46" s="582"/>
      <c r="I46" s="583">
        <v>10.7</v>
      </c>
      <c r="J46" s="582"/>
      <c r="K46" s="583">
        <v>10.9</v>
      </c>
      <c r="L46" s="582"/>
      <c r="M46" s="583">
        <v>14</v>
      </c>
      <c r="N46" s="582"/>
      <c r="O46" s="583">
        <v>13.75</v>
      </c>
      <c r="P46" s="582"/>
      <c r="Q46" s="583">
        <v>12.9</v>
      </c>
      <c r="R46" s="582"/>
      <c r="S46" s="583">
        <f>1.66+7.05</f>
        <v>8.7099999999999991</v>
      </c>
      <c r="T46" s="584"/>
      <c r="U46" s="648"/>
      <c r="V46" s="182"/>
      <c r="W46" s="814"/>
      <c r="X46" s="815">
        <f>AVERAGE(O46,M46,S46,U46,Q46)</f>
        <v>12.34</v>
      </c>
    </row>
    <row r="47" spans="1:27" s="1" customFormat="1" ht="18" customHeight="1" thickBot="1" x14ac:dyDescent="0.25">
      <c r="A47" s="488" t="s">
        <v>159</v>
      </c>
      <c r="B47" s="649" t="s">
        <v>38</v>
      </c>
      <c r="C47" s="650" t="s">
        <v>39</v>
      </c>
      <c r="D47" s="589" t="s">
        <v>38</v>
      </c>
      <c r="E47" s="486" t="s">
        <v>39</v>
      </c>
      <c r="F47" s="589" t="s">
        <v>38</v>
      </c>
      <c r="G47" s="486" t="s">
        <v>39</v>
      </c>
      <c r="H47" s="589" t="s">
        <v>38</v>
      </c>
      <c r="I47" s="486" t="s">
        <v>39</v>
      </c>
      <c r="J47" s="589" t="s">
        <v>38</v>
      </c>
      <c r="K47" s="486" t="s">
        <v>39</v>
      </c>
      <c r="L47" s="589" t="s">
        <v>38</v>
      </c>
      <c r="M47" s="486" t="s">
        <v>39</v>
      </c>
      <c r="N47" s="589" t="s">
        <v>38</v>
      </c>
      <c r="O47" s="486" t="s">
        <v>39</v>
      </c>
      <c r="P47" s="589" t="s">
        <v>38</v>
      </c>
      <c r="Q47" s="486" t="s">
        <v>39</v>
      </c>
      <c r="R47" s="589" t="s">
        <v>38</v>
      </c>
      <c r="S47" s="486" t="s">
        <v>39</v>
      </c>
      <c r="T47" s="589" t="s">
        <v>38</v>
      </c>
      <c r="U47" s="487" t="s">
        <v>39</v>
      </c>
      <c r="W47" s="590" t="s">
        <v>38</v>
      </c>
      <c r="X47" s="483" t="s">
        <v>188</v>
      </c>
    </row>
    <row r="48" spans="1:27" s="1" customFormat="1" ht="15" customHeight="1" x14ac:dyDescent="0.2">
      <c r="A48" s="489" t="s">
        <v>40</v>
      </c>
      <c r="B48" s="363"/>
      <c r="C48" s="168"/>
      <c r="D48" s="141"/>
      <c r="E48" s="585"/>
      <c r="F48" s="142"/>
      <c r="G48" s="585"/>
      <c r="H48" s="142"/>
      <c r="I48" s="585"/>
      <c r="J48" s="142"/>
      <c r="K48" s="585"/>
      <c r="L48" s="142"/>
      <c r="M48" s="585"/>
      <c r="N48" s="142"/>
      <c r="O48" s="585"/>
      <c r="P48" s="142"/>
      <c r="Q48" s="585"/>
      <c r="R48" s="142"/>
      <c r="S48" s="585"/>
      <c r="T48" s="142"/>
      <c r="U48" s="586"/>
      <c r="W48" s="566"/>
      <c r="X48" s="806"/>
    </row>
    <row r="49" spans="1:24" s="1" customFormat="1" ht="15" customHeight="1" x14ac:dyDescent="0.2">
      <c r="A49" s="464" t="s">
        <v>41</v>
      </c>
      <c r="B49" s="426"/>
      <c r="C49" s="35">
        <v>13</v>
      </c>
      <c r="D49" s="128"/>
      <c r="E49" s="147">
        <v>14</v>
      </c>
      <c r="F49" s="128"/>
      <c r="G49" s="147">
        <v>15</v>
      </c>
      <c r="H49" s="128"/>
      <c r="I49" s="147">
        <v>15</v>
      </c>
      <c r="J49" s="572">
        <v>15</v>
      </c>
      <c r="K49" s="147">
        <v>15</v>
      </c>
      <c r="L49" s="572">
        <v>16</v>
      </c>
      <c r="M49" s="147">
        <v>16</v>
      </c>
      <c r="N49" s="572">
        <v>16</v>
      </c>
      <c r="O49" s="147">
        <v>16</v>
      </c>
      <c r="P49" s="572">
        <v>15</v>
      </c>
      <c r="Q49" s="147">
        <v>15</v>
      </c>
      <c r="R49" s="572">
        <v>11</v>
      </c>
      <c r="S49" s="147">
        <v>11</v>
      </c>
      <c r="T49" s="572"/>
      <c r="U49" s="458"/>
      <c r="W49" s="807">
        <f>AVERAGE(N49,L49,R49,T49,P49)</f>
        <v>14.5</v>
      </c>
      <c r="X49" s="808">
        <f>AVERAGE(O49,M49,S49,U49,Q49)</f>
        <v>14.5</v>
      </c>
    </row>
    <row r="50" spans="1:24" s="1" customFormat="1" ht="15" customHeight="1" x14ac:dyDescent="0.2">
      <c r="A50" s="464" t="s">
        <v>42</v>
      </c>
      <c r="B50" s="426"/>
      <c r="C50" s="35">
        <v>0</v>
      </c>
      <c r="D50" s="128"/>
      <c r="E50" s="147">
        <v>0</v>
      </c>
      <c r="F50" s="128"/>
      <c r="G50" s="147">
        <v>0</v>
      </c>
      <c r="H50" s="128"/>
      <c r="I50" s="147">
        <v>0</v>
      </c>
      <c r="J50" s="572">
        <v>0</v>
      </c>
      <c r="K50" s="147">
        <v>0</v>
      </c>
      <c r="L50" s="572">
        <v>0</v>
      </c>
      <c r="M50" s="147">
        <v>0</v>
      </c>
      <c r="N50" s="572">
        <v>0</v>
      </c>
      <c r="O50" s="147">
        <v>0</v>
      </c>
      <c r="P50" s="13">
        <v>0.5</v>
      </c>
      <c r="Q50" s="147">
        <v>1</v>
      </c>
      <c r="R50" s="13">
        <v>0</v>
      </c>
      <c r="S50" s="147">
        <v>0</v>
      </c>
      <c r="T50" s="572"/>
      <c r="U50" s="458"/>
      <c r="W50" s="807">
        <f t="shared" ref="W50:X53" si="8">AVERAGE(N50,L50,R50,T50,P50)</f>
        <v>0.125</v>
      </c>
      <c r="X50" s="808">
        <f t="shared" si="8"/>
        <v>0.25</v>
      </c>
    </row>
    <row r="51" spans="1:24" s="1" customFormat="1" ht="15" customHeight="1" x14ac:dyDescent="0.2">
      <c r="A51" s="466" t="s">
        <v>43</v>
      </c>
      <c r="B51" s="33"/>
      <c r="C51" s="40"/>
      <c r="D51" s="11"/>
      <c r="E51" s="455"/>
      <c r="F51" s="13"/>
      <c r="G51" s="455"/>
      <c r="H51" s="13"/>
      <c r="I51" s="455"/>
      <c r="J51" s="13"/>
      <c r="K51" s="455"/>
      <c r="L51" s="572"/>
      <c r="M51" s="455"/>
      <c r="N51" s="572"/>
      <c r="O51" s="455"/>
      <c r="P51" s="13"/>
      <c r="Q51" s="455"/>
      <c r="R51" s="13"/>
      <c r="S51" s="455"/>
      <c r="T51" s="13"/>
      <c r="U51" s="459"/>
      <c r="W51" s="807"/>
      <c r="X51" s="808"/>
    </row>
    <row r="52" spans="1:24" s="1" customFormat="1" ht="15" customHeight="1" x14ac:dyDescent="0.2">
      <c r="A52" s="464" t="s">
        <v>41</v>
      </c>
      <c r="B52" s="426"/>
      <c r="C52" s="40">
        <v>2</v>
      </c>
      <c r="D52" s="128"/>
      <c r="E52" s="455">
        <v>1</v>
      </c>
      <c r="F52" s="128"/>
      <c r="G52" s="455">
        <v>0</v>
      </c>
      <c r="H52" s="128"/>
      <c r="I52" s="455">
        <v>0</v>
      </c>
      <c r="J52" s="572">
        <v>0</v>
      </c>
      <c r="K52" s="455">
        <v>0</v>
      </c>
      <c r="L52" s="572">
        <v>0</v>
      </c>
      <c r="M52" s="455">
        <v>0</v>
      </c>
      <c r="N52" s="572">
        <v>0</v>
      </c>
      <c r="O52" s="455">
        <v>0</v>
      </c>
      <c r="P52" s="572">
        <v>0</v>
      </c>
      <c r="Q52" s="455">
        <v>0</v>
      </c>
      <c r="R52" s="572">
        <v>6</v>
      </c>
      <c r="S52" s="455">
        <v>6</v>
      </c>
      <c r="T52" s="572"/>
      <c r="U52" s="459"/>
      <c r="W52" s="807">
        <f t="shared" si="8"/>
        <v>1.5</v>
      </c>
      <c r="X52" s="808">
        <f t="shared" si="8"/>
        <v>1.5</v>
      </c>
    </row>
    <row r="53" spans="1:24" s="1" customFormat="1" ht="15" customHeight="1" thickBot="1" x14ac:dyDescent="0.25">
      <c r="A53" s="465" t="s">
        <v>42</v>
      </c>
      <c r="B53" s="467"/>
      <c r="C53" s="468">
        <v>3</v>
      </c>
      <c r="D53" s="469"/>
      <c r="E53" s="470">
        <v>2</v>
      </c>
      <c r="F53" s="469"/>
      <c r="G53" s="470">
        <v>2</v>
      </c>
      <c r="H53" s="469"/>
      <c r="I53" s="470">
        <v>1</v>
      </c>
      <c r="J53" s="625">
        <v>0.3</v>
      </c>
      <c r="K53" s="470">
        <v>1</v>
      </c>
      <c r="L53" s="625">
        <v>0.3</v>
      </c>
      <c r="M53" s="470">
        <v>1</v>
      </c>
      <c r="N53" s="625">
        <v>0.1</v>
      </c>
      <c r="O53" s="470">
        <v>1</v>
      </c>
      <c r="P53" s="591">
        <v>0</v>
      </c>
      <c r="Q53" s="470">
        <v>0</v>
      </c>
      <c r="R53" s="591">
        <v>0</v>
      </c>
      <c r="S53" s="470">
        <v>0</v>
      </c>
      <c r="T53" s="591"/>
      <c r="U53" s="472"/>
      <c r="W53" s="807">
        <f t="shared" si="8"/>
        <v>0.1</v>
      </c>
      <c r="X53" s="808">
        <f t="shared" si="8"/>
        <v>0.5</v>
      </c>
    </row>
    <row r="54" spans="1:24" s="1" customFormat="1" ht="15" customHeight="1" thickBot="1" x14ac:dyDescent="0.25">
      <c r="A54" s="473" t="s">
        <v>26</v>
      </c>
      <c r="B54" s="595"/>
      <c r="C54" s="596">
        <f>SUM(C49:C53)</f>
        <v>18</v>
      </c>
      <c r="D54" s="475"/>
      <c r="E54" s="478">
        <f>SUM(E49:E53)</f>
        <v>17</v>
      </c>
      <c r="F54" s="597"/>
      <c r="G54" s="478">
        <f>SUM(G49:G53)</f>
        <v>17</v>
      </c>
      <c r="H54" s="597"/>
      <c r="I54" s="478">
        <f>SUM(I49:I53)</f>
        <v>16</v>
      </c>
      <c r="J54" s="598">
        <f t="shared" ref="J54:S54" si="9">SUM(J49:J53)</f>
        <v>15.3</v>
      </c>
      <c r="K54" s="478">
        <f t="shared" si="9"/>
        <v>16</v>
      </c>
      <c r="L54" s="598">
        <f t="shared" si="9"/>
        <v>16.3</v>
      </c>
      <c r="M54" s="478">
        <f t="shared" si="9"/>
        <v>17</v>
      </c>
      <c r="N54" s="598">
        <f t="shared" si="9"/>
        <v>16.100000000000001</v>
      </c>
      <c r="O54" s="478">
        <f t="shared" si="9"/>
        <v>17</v>
      </c>
      <c r="P54" s="598">
        <f t="shared" si="9"/>
        <v>15.5</v>
      </c>
      <c r="Q54" s="478">
        <f t="shared" si="9"/>
        <v>16</v>
      </c>
      <c r="R54" s="598">
        <f t="shared" si="9"/>
        <v>17</v>
      </c>
      <c r="S54" s="478">
        <f t="shared" si="9"/>
        <v>17</v>
      </c>
      <c r="T54" s="598">
        <f t="shared" ref="T54:U54" si="10">SUM(T49:T53)</f>
        <v>0</v>
      </c>
      <c r="U54" s="479">
        <f t="shared" si="10"/>
        <v>0</v>
      </c>
      <c r="W54" s="809">
        <f>AVERAGE(N54,L54,R54,T54,P54)</f>
        <v>12.98</v>
      </c>
      <c r="X54" s="810">
        <f>AVERAGE(O54,M54,S54,U54,Q54)</f>
        <v>13.4</v>
      </c>
    </row>
    <row r="55" spans="1:24" s="1" customFormat="1" ht="18" customHeight="1" thickBot="1" x14ac:dyDescent="0.25">
      <c r="A55" s="532" t="s">
        <v>171</v>
      </c>
      <c r="B55" s="539" t="s">
        <v>37</v>
      </c>
      <c r="C55" s="540" t="s">
        <v>44</v>
      </c>
      <c r="D55" s="539" t="s">
        <v>37</v>
      </c>
      <c r="E55" s="541" t="s">
        <v>44</v>
      </c>
      <c r="F55" s="542" t="s">
        <v>37</v>
      </c>
      <c r="G55" s="541" t="s">
        <v>44</v>
      </c>
      <c r="H55" s="542" t="s">
        <v>37</v>
      </c>
      <c r="I55" s="541" t="s">
        <v>44</v>
      </c>
      <c r="J55" s="542" t="s">
        <v>37</v>
      </c>
      <c r="K55" s="541" t="s">
        <v>44</v>
      </c>
      <c r="L55" s="542" t="s">
        <v>37</v>
      </c>
      <c r="M55" s="541" t="s">
        <v>44</v>
      </c>
      <c r="N55" s="542" t="s">
        <v>37</v>
      </c>
      <c r="O55" s="541" t="s">
        <v>44</v>
      </c>
      <c r="P55" s="542" t="s">
        <v>37</v>
      </c>
      <c r="Q55" s="541" t="s">
        <v>44</v>
      </c>
      <c r="R55" s="542" t="s">
        <v>37</v>
      </c>
      <c r="S55" s="541" t="s">
        <v>44</v>
      </c>
      <c r="T55" s="542" t="s">
        <v>37</v>
      </c>
      <c r="U55" s="543" t="s">
        <v>44</v>
      </c>
      <c r="V55" s="182"/>
      <c r="W55" s="482" t="s">
        <v>37</v>
      </c>
      <c r="X55" s="543" t="s">
        <v>44</v>
      </c>
    </row>
    <row r="56" spans="1:24" s="1" customFormat="1" ht="18" customHeight="1" x14ac:dyDescent="0.2">
      <c r="A56" s="530" t="s">
        <v>164</v>
      </c>
      <c r="B56" s="528"/>
      <c r="C56" s="183"/>
      <c r="D56" s="528"/>
      <c r="E56" s="184"/>
      <c r="F56" s="529"/>
      <c r="G56" s="184"/>
      <c r="H56" s="529"/>
      <c r="I56" s="184"/>
      <c r="J56" s="529"/>
      <c r="K56" s="184"/>
      <c r="L56" s="529"/>
      <c r="M56" s="184"/>
      <c r="N56" s="529"/>
      <c r="O56" s="184"/>
      <c r="P56" s="529"/>
      <c r="Q56" s="184"/>
      <c r="R56" s="529"/>
      <c r="S56" s="184"/>
      <c r="T56" s="529"/>
      <c r="U56" s="185"/>
      <c r="V56" s="182"/>
      <c r="W56" s="480"/>
      <c r="X56" s="602"/>
    </row>
    <row r="57" spans="1:24" s="1" customFormat="1" ht="15" customHeight="1" x14ac:dyDescent="0.2">
      <c r="A57" s="186" t="s">
        <v>45</v>
      </c>
      <c r="B57" s="187">
        <v>13</v>
      </c>
      <c r="C57" s="188">
        <f t="shared" ref="C57:C64" si="11">B57/C$54</f>
        <v>0.72222222222222221</v>
      </c>
      <c r="D57" s="187">
        <v>13</v>
      </c>
      <c r="E57" s="189">
        <f t="shared" ref="E57:K64" si="12">D57/E$54</f>
        <v>0.76470588235294112</v>
      </c>
      <c r="F57" s="190">
        <v>12</v>
      </c>
      <c r="G57" s="189">
        <f t="shared" si="12"/>
        <v>0.70588235294117652</v>
      </c>
      <c r="H57" s="190">
        <v>12</v>
      </c>
      <c r="I57" s="189">
        <f t="shared" ref="I57:I64" si="13">H57/I$54</f>
        <v>0.75</v>
      </c>
      <c r="J57" s="190">
        <f>1+11</f>
        <v>12</v>
      </c>
      <c r="K57" s="189">
        <f t="shared" si="12"/>
        <v>0.75</v>
      </c>
      <c r="L57" s="190">
        <v>13</v>
      </c>
      <c r="M57" s="189">
        <f t="shared" ref="M57:M62" si="14">L57/M$54</f>
        <v>0.76470588235294112</v>
      </c>
      <c r="N57" s="190">
        <v>14</v>
      </c>
      <c r="O57" s="189">
        <f t="shared" ref="O57:Q62" si="15">N57/O$54</f>
        <v>0.82352941176470584</v>
      </c>
      <c r="P57" s="190">
        <v>12</v>
      </c>
      <c r="Q57" s="189">
        <f t="shared" si="15"/>
        <v>0.75</v>
      </c>
      <c r="R57" s="190">
        <v>11</v>
      </c>
      <c r="S57" s="189">
        <f t="shared" ref="S57:S62" si="16">R57/S$54</f>
        <v>0.6470588235294118</v>
      </c>
      <c r="T57" s="190"/>
      <c r="U57" s="191" t="e">
        <f t="shared" ref="U57:U62" si="17">T57/U$54</f>
        <v>#DIV/0!</v>
      </c>
      <c r="V57" s="192"/>
      <c r="W57" s="807">
        <f t="shared" ref="W57:W76" si="18">AVERAGE(N57,L57,R57,T57,P57)</f>
        <v>12.5</v>
      </c>
      <c r="X57" s="193" t="e">
        <f>AVERAGE(O57,M57,U57,S57,Q57)</f>
        <v>#DIV/0!</v>
      </c>
    </row>
    <row r="58" spans="1:24" s="1" customFormat="1" ht="15" customHeight="1" x14ac:dyDescent="0.2">
      <c r="A58" s="194" t="s">
        <v>46</v>
      </c>
      <c r="B58" s="187">
        <v>0</v>
      </c>
      <c r="C58" s="188">
        <f t="shared" si="11"/>
        <v>0</v>
      </c>
      <c r="D58" s="187">
        <v>0</v>
      </c>
      <c r="E58" s="189">
        <f t="shared" si="12"/>
        <v>0</v>
      </c>
      <c r="F58" s="190">
        <v>0</v>
      </c>
      <c r="G58" s="189">
        <f t="shared" si="12"/>
        <v>0</v>
      </c>
      <c r="H58" s="190">
        <v>0</v>
      </c>
      <c r="I58" s="189">
        <f t="shared" si="13"/>
        <v>0</v>
      </c>
      <c r="J58" s="190">
        <f>0</f>
        <v>0</v>
      </c>
      <c r="K58" s="189">
        <f t="shared" si="12"/>
        <v>0</v>
      </c>
      <c r="L58" s="190">
        <v>0</v>
      </c>
      <c r="M58" s="189">
        <f t="shared" si="14"/>
        <v>0</v>
      </c>
      <c r="N58" s="190">
        <v>0</v>
      </c>
      <c r="O58" s="189">
        <f t="shared" si="15"/>
        <v>0</v>
      </c>
      <c r="P58" s="190">
        <v>0</v>
      </c>
      <c r="Q58" s="189">
        <f t="shared" si="15"/>
        <v>0</v>
      </c>
      <c r="R58" s="190">
        <v>0</v>
      </c>
      <c r="S58" s="189">
        <f t="shared" si="16"/>
        <v>0</v>
      </c>
      <c r="T58" s="190"/>
      <c r="U58" s="191" t="e">
        <f t="shared" si="17"/>
        <v>#DIV/0!</v>
      </c>
      <c r="V58" s="192"/>
      <c r="W58" s="807">
        <f t="shared" si="18"/>
        <v>0</v>
      </c>
      <c r="X58" s="193" t="e">
        <f t="shared" ref="X58:X76" si="19">AVERAGE(O58,M58,U58,S58,Q58)</f>
        <v>#DIV/0!</v>
      </c>
    </row>
    <row r="59" spans="1:24" s="1" customFormat="1" ht="15" customHeight="1" x14ac:dyDescent="0.2">
      <c r="A59" s="194" t="s">
        <v>47</v>
      </c>
      <c r="B59" s="187">
        <v>0</v>
      </c>
      <c r="C59" s="188">
        <f t="shared" si="11"/>
        <v>0</v>
      </c>
      <c r="D59" s="187">
        <v>0</v>
      </c>
      <c r="E59" s="189">
        <f t="shared" si="12"/>
        <v>0</v>
      </c>
      <c r="F59" s="190">
        <v>0</v>
      </c>
      <c r="G59" s="189">
        <f t="shared" si="12"/>
        <v>0</v>
      </c>
      <c r="H59" s="190">
        <v>0</v>
      </c>
      <c r="I59" s="189">
        <f t="shared" si="13"/>
        <v>0</v>
      </c>
      <c r="J59" s="190">
        <f>0</f>
        <v>0</v>
      </c>
      <c r="K59" s="189">
        <f t="shared" si="12"/>
        <v>0</v>
      </c>
      <c r="L59" s="190">
        <v>0</v>
      </c>
      <c r="M59" s="189">
        <f t="shared" si="14"/>
        <v>0</v>
      </c>
      <c r="N59" s="190">
        <v>0</v>
      </c>
      <c r="O59" s="189">
        <f t="shared" si="15"/>
        <v>0</v>
      </c>
      <c r="P59" s="190">
        <v>0</v>
      </c>
      <c r="Q59" s="189">
        <f t="shared" si="15"/>
        <v>0</v>
      </c>
      <c r="R59" s="190">
        <v>0</v>
      </c>
      <c r="S59" s="189">
        <f t="shared" si="16"/>
        <v>0</v>
      </c>
      <c r="T59" s="190"/>
      <c r="U59" s="191" t="e">
        <f t="shared" si="17"/>
        <v>#DIV/0!</v>
      </c>
      <c r="V59" s="192"/>
      <c r="W59" s="807">
        <f t="shared" si="18"/>
        <v>0</v>
      </c>
      <c r="X59" s="193" t="e">
        <f t="shared" si="19"/>
        <v>#DIV/0!</v>
      </c>
    </row>
    <row r="60" spans="1:24" s="1" customFormat="1" ht="15" customHeight="1" x14ac:dyDescent="0.2">
      <c r="A60" s="194" t="s">
        <v>48</v>
      </c>
      <c r="B60" s="187">
        <v>0</v>
      </c>
      <c r="C60" s="188">
        <f t="shared" si="11"/>
        <v>0</v>
      </c>
      <c r="D60" s="187">
        <v>0</v>
      </c>
      <c r="E60" s="189">
        <f t="shared" si="12"/>
        <v>0</v>
      </c>
      <c r="F60" s="190">
        <v>0</v>
      </c>
      <c r="G60" s="189">
        <f t="shared" si="12"/>
        <v>0</v>
      </c>
      <c r="H60" s="190">
        <v>0</v>
      </c>
      <c r="I60" s="189">
        <f t="shared" si="13"/>
        <v>0</v>
      </c>
      <c r="J60" s="190">
        <f>0</f>
        <v>0</v>
      </c>
      <c r="K60" s="189">
        <f t="shared" si="12"/>
        <v>0</v>
      </c>
      <c r="L60" s="190">
        <v>0</v>
      </c>
      <c r="M60" s="189">
        <f t="shared" si="14"/>
        <v>0</v>
      </c>
      <c r="N60" s="190">
        <v>0</v>
      </c>
      <c r="O60" s="189">
        <f t="shared" si="15"/>
        <v>0</v>
      </c>
      <c r="P60" s="190">
        <v>0</v>
      </c>
      <c r="Q60" s="189">
        <f t="shared" si="15"/>
        <v>0</v>
      </c>
      <c r="R60" s="190">
        <v>0</v>
      </c>
      <c r="S60" s="189">
        <f t="shared" si="16"/>
        <v>0</v>
      </c>
      <c r="T60" s="190"/>
      <c r="U60" s="191" t="e">
        <f t="shared" si="17"/>
        <v>#DIV/0!</v>
      </c>
      <c r="V60" s="192"/>
      <c r="W60" s="807">
        <f t="shared" si="18"/>
        <v>0</v>
      </c>
      <c r="X60" s="193" t="e">
        <f t="shared" si="19"/>
        <v>#DIV/0!</v>
      </c>
    </row>
    <row r="61" spans="1:24" s="1" customFormat="1" ht="15" customHeight="1" x14ac:dyDescent="0.2">
      <c r="A61" s="194" t="s">
        <v>49</v>
      </c>
      <c r="B61" s="187">
        <v>5</v>
      </c>
      <c r="C61" s="188">
        <f t="shared" si="11"/>
        <v>0.27777777777777779</v>
      </c>
      <c r="D61" s="187">
        <v>4</v>
      </c>
      <c r="E61" s="189">
        <f t="shared" si="12"/>
        <v>0.23529411764705882</v>
      </c>
      <c r="F61" s="190">
        <v>4</v>
      </c>
      <c r="G61" s="189">
        <f t="shared" si="12"/>
        <v>0.23529411764705882</v>
      </c>
      <c r="H61" s="190">
        <v>4</v>
      </c>
      <c r="I61" s="189">
        <f t="shared" si="13"/>
        <v>0.25</v>
      </c>
      <c r="J61" s="190">
        <f>4</f>
        <v>4</v>
      </c>
      <c r="K61" s="189">
        <f t="shared" si="12"/>
        <v>0.25</v>
      </c>
      <c r="L61" s="190">
        <v>4</v>
      </c>
      <c r="M61" s="189">
        <f t="shared" si="14"/>
        <v>0.23529411764705882</v>
      </c>
      <c r="N61" s="190">
        <v>3</v>
      </c>
      <c r="O61" s="189">
        <f t="shared" si="15"/>
        <v>0.17647058823529413</v>
      </c>
      <c r="P61" s="190">
        <v>3</v>
      </c>
      <c r="Q61" s="189">
        <f t="shared" si="15"/>
        <v>0.1875</v>
      </c>
      <c r="R61" s="190">
        <v>3</v>
      </c>
      <c r="S61" s="189">
        <f t="shared" si="16"/>
        <v>0.17647058823529413</v>
      </c>
      <c r="T61" s="190"/>
      <c r="U61" s="191" t="e">
        <f t="shared" si="17"/>
        <v>#DIV/0!</v>
      </c>
      <c r="V61" s="192"/>
      <c r="W61" s="807">
        <f t="shared" si="18"/>
        <v>3.25</v>
      </c>
      <c r="X61" s="193" t="e">
        <f t="shared" si="19"/>
        <v>#DIV/0!</v>
      </c>
    </row>
    <row r="62" spans="1:24" s="1" customFormat="1" ht="15" customHeight="1" x14ac:dyDescent="0.2">
      <c r="A62" s="194" t="s">
        <v>50</v>
      </c>
      <c r="B62" s="187">
        <v>0</v>
      </c>
      <c r="C62" s="188">
        <f t="shared" si="11"/>
        <v>0</v>
      </c>
      <c r="D62" s="187">
        <v>0</v>
      </c>
      <c r="E62" s="189">
        <f t="shared" si="12"/>
        <v>0</v>
      </c>
      <c r="F62" s="190">
        <v>1</v>
      </c>
      <c r="G62" s="189">
        <f t="shared" si="12"/>
        <v>5.8823529411764705E-2</v>
      </c>
      <c r="H62" s="190">
        <v>0</v>
      </c>
      <c r="I62" s="189">
        <f t="shared" si="13"/>
        <v>0</v>
      </c>
      <c r="J62" s="190">
        <f>0</f>
        <v>0</v>
      </c>
      <c r="K62" s="189">
        <f t="shared" si="12"/>
        <v>0</v>
      </c>
      <c r="L62" s="190">
        <v>0</v>
      </c>
      <c r="M62" s="189">
        <f t="shared" si="14"/>
        <v>0</v>
      </c>
      <c r="N62" s="190">
        <v>0</v>
      </c>
      <c r="O62" s="189">
        <f t="shared" si="15"/>
        <v>0</v>
      </c>
      <c r="P62" s="190">
        <v>1</v>
      </c>
      <c r="Q62" s="189">
        <f t="shared" si="15"/>
        <v>6.25E-2</v>
      </c>
      <c r="R62" s="190">
        <v>3</v>
      </c>
      <c r="S62" s="189">
        <f t="shared" si="16"/>
        <v>0.17647058823529413</v>
      </c>
      <c r="T62" s="190"/>
      <c r="U62" s="191" t="e">
        <f t="shared" si="17"/>
        <v>#DIV/0!</v>
      </c>
      <c r="V62" s="192"/>
      <c r="W62" s="807">
        <f t="shared" si="18"/>
        <v>1</v>
      </c>
      <c r="X62" s="193" t="e">
        <f t="shared" si="19"/>
        <v>#DIV/0!</v>
      </c>
    </row>
    <row r="63" spans="1:24" s="1" customFormat="1" ht="15" customHeight="1" x14ac:dyDescent="0.2">
      <c r="A63" s="194" t="s">
        <v>51</v>
      </c>
      <c r="B63" s="195"/>
      <c r="C63" s="188"/>
      <c r="D63" s="195"/>
      <c r="E63" s="189"/>
      <c r="F63" s="196"/>
      <c r="G63" s="189"/>
      <c r="H63" s="196">
        <v>0</v>
      </c>
      <c r="I63" s="189">
        <f t="shared" si="13"/>
        <v>0</v>
      </c>
      <c r="J63" s="196">
        <f>0</f>
        <v>0</v>
      </c>
      <c r="K63" s="189">
        <f>J63/K$54</f>
        <v>0</v>
      </c>
      <c r="L63" s="196">
        <v>0</v>
      </c>
      <c r="M63" s="189">
        <f>L63/M$54</f>
        <v>0</v>
      </c>
      <c r="N63" s="196">
        <v>0</v>
      </c>
      <c r="O63" s="189">
        <f>N63/O$54</f>
        <v>0</v>
      </c>
      <c r="P63" s="196">
        <v>0</v>
      </c>
      <c r="Q63" s="189">
        <f>P63/Q$54</f>
        <v>0</v>
      </c>
      <c r="R63" s="196">
        <v>0</v>
      </c>
      <c r="S63" s="189">
        <f>R63/S$54</f>
        <v>0</v>
      </c>
      <c r="T63" s="190"/>
      <c r="U63" s="191" t="e">
        <f>T63/U$54</f>
        <v>#DIV/0!</v>
      </c>
      <c r="V63" s="192"/>
      <c r="W63" s="807">
        <f t="shared" si="18"/>
        <v>0</v>
      </c>
      <c r="X63" s="193" t="e">
        <f t="shared" si="19"/>
        <v>#DIV/0!</v>
      </c>
    </row>
    <row r="64" spans="1:24" s="1" customFormat="1" ht="15" customHeight="1" thickBot="1" x14ac:dyDescent="0.25">
      <c r="A64" s="194" t="s">
        <v>52</v>
      </c>
      <c r="B64" s="195">
        <v>0</v>
      </c>
      <c r="C64" s="627">
        <f t="shared" si="11"/>
        <v>0</v>
      </c>
      <c r="D64" s="195">
        <v>0</v>
      </c>
      <c r="E64" s="628">
        <f t="shared" si="12"/>
        <v>0</v>
      </c>
      <c r="F64" s="196">
        <v>0</v>
      </c>
      <c r="G64" s="628">
        <f t="shared" si="12"/>
        <v>0</v>
      </c>
      <c r="H64" s="196">
        <v>0</v>
      </c>
      <c r="I64" s="628">
        <f t="shared" si="13"/>
        <v>0</v>
      </c>
      <c r="J64" s="196">
        <f>0</f>
        <v>0</v>
      </c>
      <c r="K64" s="628">
        <f t="shared" si="12"/>
        <v>0</v>
      </c>
      <c r="L64" s="196">
        <v>0</v>
      </c>
      <c r="M64" s="628">
        <f>L64/M$54</f>
        <v>0</v>
      </c>
      <c r="N64" s="196">
        <v>0</v>
      </c>
      <c r="O64" s="628">
        <f>N64/O$54</f>
        <v>0</v>
      </c>
      <c r="P64" s="196">
        <v>0</v>
      </c>
      <c r="Q64" s="628">
        <f>P64/Q$54</f>
        <v>0</v>
      </c>
      <c r="R64" s="196">
        <v>0</v>
      </c>
      <c r="S64" s="628">
        <f>R64/S$54</f>
        <v>0</v>
      </c>
      <c r="T64" s="196"/>
      <c r="U64" s="629" t="e">
        <f>T64/U$54</f>
        <v>#DIV/0!</v>
      </c>
      <c r="V64" s="192"/>
      <c r="W64" s="807">
        <f t="shared" si="18"/>
        <v>0</v>
      </c>
      <c r="X64" s="193" t="e">
        <f t="shared" si="19"/>
        <v>#DIV/0!</v>
      </c>
    </row>
    <row r="65" spans="1:24" s="1" customFormat="1" ht="18" customHeight="1" x14ac:dyDescent="0.2">
      <c r="A65" s="603" t="s">
        <v>53</v>
      </c>
      <c r="B65" s="632"/>
      <c r="C65" s="633"/>
      <c r="D65" s="632"/>
      <c r="E65" s="634"/>
      <c r="F65" s="635"/>
      <c r="G65" s="634"/>
      <c r="H65" s="635"/>
      <c r="I65" s="634"/>
      <c r="J65" s="635"/>
      <c r="K65" s="634"/>
      <c r="L65" s="635"/>
      <c r="M65" s="634"/>
      <c r="N65" s="635"/>
      <c r="O65" s="634"/>
      <c r="P65" s="635"/>
      <c r="Q65" s="634"/>
      <c r="R65" s="635"/>
      <c r="S65" s="634"/>
      <c r="T65" s="635"/>
      <c r="U65" s="636"/>
      <c r="V65" s="192"/>
      <c r="W65" s="807"/>
      <c r="X65" s="193"/>
    </row>
    <row r="66" spans="1:24" s="1" customFormat="1" ht="15" customHeight="1" x14ac:dyDescent="0.2">
      <c r="A66" s="186" t="s">
        <v>54</v>
      </c>
      <c r="B66" s="202">
        <v>14</v>
      </c>
      <c r="C66" s="188">
        <f>B66/C$54</f>
        <v>0.77777777777777779</v>
      </c>
      <c r="D66" s="202">
        <v>13</v>
      </c>
      <c r="E66" s="189">
        <f>D66/E$54</f>
        <v>0.76470588235294112</v>
      </c>
      <c r="F66" s="93">
        <v>13</v>
      </c>
      <c r="G66" s="189">
        <f>F66/G$54</f>
        <v>0.76470588235294112</v>
      </c>
      <c r="H66" s="93">
        <v>13</v>
      </c>
      <c r="I66" s="189">
        <f>H66/I$54</f>
        <v>0.8125</v>
      </c>
      <c r="J66" s="93">
        <f>1+12</f>
        <v>13</v>
      </c>
      <c r="K66" s="189">
        <f>J66/K$54</f>
        <v>0.8125</v>
      </c>
      <c r="L66" s="93">
        <v>13</v>
      </c>
      <c r="M66" s="189">
        <f>L66/M$54</f>
        <v>0.76470588235294112</v>
      </c>
      <c r="N66" s="93">
        <v>12</v>
      </c>
      <c r="O66" s="189">
        <f>N66/O$54</f>
        <v>0.70588235294117652</v>
      </c>
      <c r="P66" s="93">
        <v>12</v>
      </c>
      <c r="Q66" s="189">
        <f>P66/Q$54</f>
        <v>0.75</v>
      </c>
      <c r="R66" s="93">
        <v>14</v>
      </c>
      <c r="S66" s="189">
        <f>R66/S$54</f>
        <v>0.82352941176470584</v>
      </c>
      <c r="T66" s="93"/>
      <c r="U66" s="191" t="e">
        <f>T66/U$54</f>
        <v>#DIV/0!</v>
      </c>
      <c r="V66" s="192"/>
      <c r="W66" s="807">
        <f t="shared" si="18"/>
        <v>12.75</v>
      </c>
      <c r="X66" s="193" t="e">
        <f t="shared" si="19"/>
        <v>#DIV/0!</v>
      </c>
    </row>
    <row r="67" spans="1:24" s="1" customFormat="1" ht="15" customHeight="1" thickBot="1" x14ac:dyDescent="0.25">
      <c r="A67" s="194" t="s">
        <v>55</v>
      </c>
      <c r="B67" s="630">
        <v>4</v>
      </c>
      <c r="C67" s="627">
        <f>B67/C$54</f>
        <v>0.22222222222222221</v>
      </c>
      <c r="D67" s="630">
        <v>4</v>
      </c>
      <c r="E67" s="628">
        <f>D67/E$54</f>
        <v>0.23529411764705882</v>
      </c>
      <c r="F67" s="631">
        <v>4</v>
      </c>
      <c r="G67" s="628">
        <f>F67/G$54</f>
        <v>0.23529411764705882</v>
      </c>
      <c r="H67" s="631">
        <v>3</v>
      </c>
      <c r="I67" s="628">
        <f>H67/I$54</f>
        <v>0.1875</v>
      </c>
      <c r="J67" s="631">
        <f>3</f>
        <v>3</v>
      </c>
      <c r="K67" s="628">
        <f>J67/K$54</f>
        <v>0.1875</v>
      </c>
      <c r="L67" s="631">
        <v>4</v>
      </c>
      <c r="M67" s="628">
        <f>L67/M$54</f>
        <v>0.23529411764705882</v>
      </c>
      <c r="N67" s="631">
        <v>5</v>
      </c>
      <c r="O67" s="628">
        <f>N67/O$54</f>
        <v>0.29411764705882354</v>
      </c>
      <c r="P67" s="631">
        <v>4</v>
      </c>
      <c r="Q67" s="628">
        <f>P67/Q$54</f>
        <v>0.25</v>
      </c>
      <c r="R67" s="631">
        <v>3</v>
      </c>
      <c r="S67" s="628">
        <f>R67/S$54</f>
        <v>0.17647058823529413</v>
      </c>
      <c r="T67" s="631"/>
      <c r="U67" s="629" t="e">
        <f>T67/U$54</f>
        <v>#DIV/0!</v>
      </c>
      <c r="V67" s="192"/>
      <c r="W67" s="807">
        <f t="shared" si="18"/>
        <v>4</v>
      </c>
      <c r="X67" s="193" t="e">
        <f t="shared" si="19"/>
        <v>#DIV/0!</v>
      </c>
    </row>
    <row r="68" spans="1:24" s="1" customFormat="1" ht="18" customHeight="1" x14ac:dyDescent="0.2">
      <c r="A68" s="603" t="s">
        <v>56</v>
      </c>
      <c r="B68" s="637"/>
      <c r="C68" s="638"/>
      <c r="D68" s="637"/>
      <c r="E68" s="639"/>
      <c r="F68" s="640"/>
      <c r="G68" s="639"/>
      <c r="H68" s="640"/>
      <c r="I68" s="639"/>
      <c r="J68" s="640"/>
      <c r="K68" s="639"/>
      <c r="L68" s="640"/>
      <c r="M68" s="639"/>
      <c r="N68" s="640"/>
      <c r="O68" s="639"/>
      <c r="P68" s="640"/>
      <c r="Q68" s="639"/>
      <c r="R68" s="640"/>
      <c r="S68" s="639"/>
      <c r="T68" s="640"/>
      <c r="U68" s="641"/>
      <c r="V68" s="192"/>
      <c r="W68" s="807"/>
      <c r="X68" s="193"/>
    </row>
    <row r="69" spans="1:24" s="1" customFormat="1" ht="15" customHeight="1" x14ac:dyDescent="0.2">
      <c r="A69" s="186" t="s">
        <v>57</v>
      </c>
      <c r="B69" s="203">
        <v>12</v>
      </c>
      <c r="C69" s="188">
        <f>B69/C$54</f>
        <v>0.66666666666666663</v>
      </c>
      <c r="D69" s="203">
        <v>13</v>
      </c>
      <c r="E69" s="189">
        <f>D69/E$54</f>
        <v>0.76470588235294112</v>
      </c>
      <c r="F69" s="204">
        <v>13</v>
      </c>
      <c r="G69" s="189">
        <f>F69/G$54</f>
        <v>0.76470588235294112</v>
      </c>
      <c r="H69" s="204">
        <v>15</v>
      </c>
      <c r="I69" s="189">
        <f>H69/I$54</f>
        <v>0.9375</v>
      </c>
      <c r="J69" s="204">
        <f>1+13</f>
        <v>14</v>
      </c>
      <c r="K69" s="189">
        <f>J69/K$54</f>
        <v>0.875</v>
      </c>
      <c r="L69" s="204">
        <v>13</v>
      </c>
      <c r="M69" s="189">
        <f>L69/M$54</f>
        <v>0.76470588235294112</v>
      </c>
      <c r="N69" s="204">
        <v>13</v>
      </c>
      <c r="O69" s="189">
        <f>N69/O$54</f>
        <v>0.76470588235294112</v>
      </c>
      <c r="P69" s="204">
        <v>12</v>
      </c>
      <c r="Q69" s="189">
        <f>P69/Q$54</f>
        <v>0.75</v>
      </c>
      <c r="R69" s="204">
        <v>12</v>
      </c>
      <c r="S69" s="189">
        <f>R69/S$54</f>
        <v>0.70588235294117652</v>
      </c>
      <c r="T69" s="204"/>
      <c r="U69" s="191" t="e">
        <f>T69/U$54</f>
        <v>#DIV/0!</v>
      </c>
      <c r="V69" s="192"/>
      <c r="W69" s="807">
        <f t="shared" si="18"/>
        <v>12.5</v>
      </c>
      <c r="X69" s="193" t="e">
        <f t="shared" si="19"/>
        <v>#DIV/0!</v>
      </c>
    </row>
    <row r="70" spans="1:24" s="1" customFormat="1" ht="15" customHeight="1" x14ac:dyDescent="0.2">
      <c r="A70" s="186" t="s">
        <v>58</v>
      </c>
      <c r="B70" s="203">
        <v>3</v>
      </c>
      <c r="C70" s="188">
        <f>B70/C$54</f>
        <v>0.16666666666666666</v>
      </c>
      <c r="D70" s="203">
        <v>2</v>
      </c>
      <c r="E70" s="189">
        <f>D70/E$54</f>
        <v>0.11764705882352941</v>
      </c>
      <c r="F70" s="204">
        <v>2</v>
      </c>
      <c r="G70" s="189">
        <f>F70/G$54</f>
        <v>0.11764705882352941</v>
      </c>
      <c r="H70" s="204">
        <v>1</v>
      </c>
      <c r="I70" s="189">
        <f>H70/I$54</f>
        <v>6.25E-2</v>
      </c>
      <c r="J70" s="204">
        <f>1</f>
        <v>1</v>
      </c>
      <c r="K70" s="189">
        <f>J70/K$54</f>
        <v>6.25E-2</v>
      </c>
      <c r="L70" s="204">
        <v>2</v>
      </c>
      <c r="M70" s="189">
        <f>L70/M$54</f>
        <v>0.11764705882352941</v>
      </c>
      <c r="N70" s="204">
        <v>2</v>
      </c>
      <c r="O70" s="189">
        <f>N70/O$54</f>
        <v>0.11764705882352941</v>
      </c>
      <c r="P70" s="204">
        <v>1</v>
      </c>
      <c r="Q70" s="189">
        <f>P70/Q$54</f>
        <v>6.25E-2</v>
      </c>
      <c r="R70" s="204">
        <v>3</v>
      </c>
      <c r="S70" s="189">
        <f>R70/S$54</f>
        <v>0.17647058823529413</v>
      </c>
      <c r="T70" s="204"/>
      <c r="U70" s="191" t="e">
        <f>T70/U$54</f>
        <v>#DIV/0!</v>
      </c>
      <c r="V70" s="192"/>
      <c r="W70" s="807">
        <f t="shared" si="18"/>
        <v>2</v>
      </c>
      <c r="X70" s="193" t="e">
        <f t="shared" si="19"/>
        <v>#DIV/0!</v>
      </c>
    </row>
    <row r="71" spans="1:24" s="1" customFormat="1" ht="15" customHeight="1" thickBot="1" x14ac:dyDescent="0.25">
      <c r="A71" s="194" t="s">
        <v>59</v>
      </c>
      <c r="B71" s="630">
        <v>3</v>
      </c>
      <c r="C71" s="627">
        <f>B71/C$54</f>
        <v>0.16666666666666666</v>
      </c>
      <c r="D71" s="630">
        <v>2</v>
      </c>
      <c r="E71" s="628">
        <f>D71/E$54</f>
        <v>0.11764705882352941</v>
      </c>
      <c r="F71" s="631">
        <v>2</v>
      </c>
      <c r="G71" s="628">
        <f>F71/G$54</f>
        <v>0.11764705882352941</v>
      </c>
      <c r="H71" s="631">
        <v>0</v>
      </c>
      <c r="I71" s="628">
        <f>H71/I$54</f>
        <v>0</v>
      </c>
      <c r="J71" s="631">
        <f>1</f>
        <v>1</v>
      </c>
      <c r="K71" s="628">
        <f>J71/K$54</f>
        <v>6.25E-2</v>
      </c>
      <c r="L71" s="631">
        <v>2</v>
      </c>
      <c r="M71" s="628">
        <f>L71/M$54</f>
        <v>0.11764705882352941</v>
      </c>
      <c r="N71" s="631">
        <v>2</v>
      </c>
      <c r="O71" s="628">
        <f>N71/O$54</f>
        <v>0.11764705882352941</v>
      </c>
      <c r="P71" s="631">
        <v>3</v>
      </c>
      <c r="Q71" s="628">
        <f>P71/Q$54</f>
        <v>0.1875</v>
      </c>
      <c r="R71" s="631">
        <v>2</v>
      </c>
      <c r="S71" s="628">
        <f>R71/S$54</f>
        <v>0.11764705882352941</v>
      </c>
      <c r="T71" s="631"/>
      <c r="U71" s="629" t="e">
        <f>T71/U$54</f>
        <v>#DIV/0!</v>
      </c>
      <c r="V71" s="192"/>
      <c r="W71" s="807">
        <f t="shared" si="18"/>
        <v>2.25</v>
      </c>
      <c r="X71" s="193" t="e">
        <f t="shared" si="19"/>
        <v>#DIV/0!</v>
      </c>
    </row>
    <row r="72" spans="1:24" s="1" customFormat="1" ht="18" customHeight="1" x14ac:dyDescent="0.2">
      <c r="A72" s="603" t="s">
        <v>60</v>
      </c>
      <c r="B72" s="637"/>
      <c r="C72" s="638"/>
      <c r="D72" s="637"/>
      <c r="E72" s="639"/>
      <c r="F72" s="640"/>
      <c r="G72" s="639"/>
      <c r="H72" s="640"/>
      <c r="I72" s="639"/>
      <c r="J72" s="640"/>
      <c r="K72" s="639"/>
      <c r="L72" s="640"/>
      <c r="M72" s="639"/>
      <c r="N72" s="640"/>
      <c r="O72" s="639"/>
      <c r="P72" s="640"/>
      <c r="Q72" s="639"/>
      <c r="R72" s="640"/>
      <c r="S72" s="639"/>
      <c r="T72" s="640"/>
      <c r="U72" s="641"/>
      <c r="V72" s="192"/>
      <c r="W72" s="807"/>
      <c r="X72" s="193"/>
    </row>
    <row r="73" spans="1:24" s="1" customFormat="1" ht="15" customHeight="1" x14ac:dyDescent="0.2">
      <c r="A73" s="186" t="s">
        <v>61</v>
      </c>
      <c r="B73" s="203">
        <v>17</v>
      </c>
      <c r="C73" s="188">
        <f>B73/C$54</f>
        <v>0.94444444444444442</v>
      </c>
      <c r="D73" s="203">
        <v>16</v>
      </c>
      <c r="E73" s="189">
        <f>D73/E$54</f>
        <v>0.94117647058823528</v>
      </c>
      <c r="F73" s="204">
        <v>16</v>
      </c>
      <c r="G73" s="189">
        <f>F73/G$54</f>
        <v>0.94117647058823528</v>
      </c>
      <c r="H73" s="204">
        <v>15</v>
      </c>
      <c r="I73" s="189">
        <f>H73/I$54</f>
        <v>0.9375</v>
      </c>
      <c r="J73" s="204">
        <f>1+13</f>
        <v>14</v>
      </c>
      <c r="K73" s="189">
        <f>J73/K$54</f>
        <v>0.875</v>
      </c>
      <c r="L73" s="204">
        <v>15</v>
      </c>
      <c r="M73" s="189">
        <f>L73/M$54</f>
        <v>0.88235294117647056</v>
      </c>
      <c r="N73" s="204">
        <v>15</v>
      </c>
      <c r="O73" s="189">
        <f>N73/O$54</f>
        <v>0.88235294117647056</v>
      </c>
      <c r="P73" s="204">
        <v>15</v>
      </c>
      <c r="Q73" s="189">
        <f>P73/Q$54</f>
        <v>0.9375</v>
      </c>
      <c r="R73" s="204">
        <v>17</v>
      </c>
      <c r="S73" s="189">
        <f>R73/S$54</f>
        <v>1</v>
      </c>
      <c r="T73" s="204"/>
      <c r="U73" s="191" t="e">
        <f>T73/U$54</f>
        <v>#DIV/0!</v>
      </c>
      <c r="V73" s="192"/>
      <c r="W73" s="807">
        <f t="shared" si="18"/>
        <v>15.5</v>
      </c>
      <c r="X73" s="193" t="e">
        <f t="shared" si="19"/>
        <v>#DIV/0!</v>
      </c>
    </row>
    <row r="74" spans="1:24" s="1" customFormat="1" ht="15" customHeight="1" x14ac:dyDescent="0.2">
      <c r="A74" s="186" t="s">
        <v>62</v>
      </c>
      <c r="B74" s="203">
        <v>1</v>
      </c>
      <c r="C74" s="188">
        <f>B74/C$54</f>
        <v>5.5555555555555552E-2</v>
      </c>
      <c r="D74" s="203">
        <v>1</v>
      </c>
      <c r="E74" s="189">
        <f>D74/E$54</f>
        <v>5.8823529411764705E-2</v>
      </c>
      <c r="F74" s="204">
        <v>1</v>
      </c>
      <c r="G74" s="189">
        <f>F74/G$54</f>
        <v>5.8823529411764705E-2</v>
      </c>
      <c r="H74" s="204">
        <v>1</v>
      </c>
      <c r="I74" s="189">
        <f>H74/I$54</f>
        <v>6.25E-2</v>
      </c>
      <c r="J74" s="204">
        <f>1</f>
        <v>1</v>
      </c>
      <c r="K74" s="189">
        <f>J74/K$54</f>
        <v>6.25E-2</v>
      </c>
      <c r="L74" s="204">
        <v>2</v>
      </c>
      <c r="M74" s="189">
        <f>L74/M$54</f>
        <v>0.11764705882352941</v>
      </c>
      <c r="N74" s="204">
        <v>2</v>
      </c>
      <c r="O74" s="189">
        <f>N74/O$54</f>
        <v>0.11764705882352941</v>
      </c>
      <c r="P74" s="204">
        <v>1</v>
      </c>
      <c r="Q74" s="189">
        <f>P74/Q$54</f>
        <v>6.25E-2</v>
      </c>
      <c r="R74" s="204">
        <v>0</v>
      </c>
      <c r="S74" s="189">
        <f>R74/S$54</f>
        <v>0</v>
      </c>
      <c r="T74" s="204"/>
      <c r="U74" s="191" t="e">
        <f>T74/U$54</f>
        <v>#DIV/0!</v>
      </c>
      <c r="V74" s="192"/>
      <c r="W74" s="807">
        <f t="shared" si="18"/>
        <v>1.25</v>
      </c>
      <c r="X74" s="193" t="e">
        <f t="shared" si="19"/>
        <v>#DIV/0!</v>
      </c>
    </row>
    <row r="75" spans="1:24" s="1" customFormat="1" ht="15" customHeight="1" x14ac:dyDescent="0.2">
      <c r="A75" s="186" t="s">
        <v>63</v>
      </c>
      <c r="B75" s="203">
        <v>0</v>
      </c>
      <c r="C75" s="188">
        <f>B75/C$54</f>
        <v>0</v>
      </c>
      <c r="D75" s="203">
        <v>0</v>
      </c>
      <c r="E75" s="189">
        <f>D75/E$54</f>
        <v>0</v>
      </c>
      <c r="F75" s="204">
        <v>0</v>
      </c>
      <c r="G75" s="189">
        <f>F75/G$54</f>
        <v>0</v>
      </c>
      <c r="H75" s="204">
        <v>0</v>
      </c>
      <c r="I75" s="189">
        <f>H75/I$54</f>
        <v>0</v>
      </c>
      <c r="J75" s="204">
        <f>1</f>
        <v>1</v>
      </c>
      <c r="K75" s="189">
        <f>J75/K$54</f>
        <v>6.25E-2</v>
      </c>
      <c r="L75" s="204">
        <v>0</v>
      </c>
      <c r="M75" s="189">
        <f>L75/M$54</f>
        <v>0</v>
      </c>
      <c r="N75" s="204">
        <v>0</v>
      </c>
      <c r="O75" s="189">
        <f>N75/O$54</f>
        <v>0</v>
      </c>
      <c r="P75" s="204">
        <v>0</v>
      </c>
      <c r="Q75" s="189">
        <f>P75/Q$54</f>
        <v>0</v>
      </c>
      <c r="R75" s="204">
        <v>0</v>
      </c>
      <c r="S75" s="189">
        <f>R75/S$54</f>
        <v>0</v>
      </c>
      <c r="T75" s="204"/>
      <c r="U75" s="191" t="e">
        <f>T75/U$54</f>
        <v>#DIV/0!</v>
      </c>
      <c r="V75" s="182"/>
      <c r="W75" s="807">
        <f t="shared" si="18"/>
        <v>0</v>
      </c>
      <c r="X75" s="193" t="e">
        <f t="shared" si="19"/>
        <v>#DIV/0!</v>
      </c>
    </row>
    <row r="76" spans="1:24" s="1" customFormat="1" ht="15" customHeight="1" thickBot="1" x14ac:dyDescent="0.25">
      <c r="A76" s="207" t="s">
        <v>64</v>
      </c>
      <c r="B76" s="208">
        <v>0</v>
      </c>
      <c r="C76" s="209">
        <f>B76/C$54</f>
        <v>0</v>
      </c>
      <c r="D76" s="208">
        <v>0</v>
      </c>
      <c r="E76" s="210">
        <f>D76/E$54</f>
        <v>0</v>
      </c>
      <c r="F76" s="211">
        <v>0</v>
      </c>
      <c r="G76" s="210">
        <f>F76/G$54</f>
        <v>0</v>
      </c>
      <c r="H76" s="211">
        <v>0</v>
      </c>
      <c r="I76" s="210">
        <f>H76/I$54</f>
        <v>0</v>
      </c>
      <c r="J76" s="211">
        <f>0</f>
        <v>0</v>
      </c>
      <c r="K76" s="210">
        <f>J76/K$54</f>
        <v>0</v>
      </c>
      <c r="L76" s="211">
        <v>0</v>
      </c>
      <c r="M76" s="210">
        <f>L76/M$54</f>
        <v>0</v>
      </c>
      <c r="N76" s="211">
        <v>0</v>
      </c>
      <c r="O76" s="210">
        <f>N76/O$54</f>
        <v>0</v>
      </c>
      <c r="P76" s="211">
        <v>0</v>
      </c>
      <c r="Q76" s="210">
        <f>P76/Q$54</f>
        <v>0</v>
      </c>
      <c r="R76" s="211">
        <v>0</v>
      </c>
      <c r="S76" s="210">
        <f>R76/S$54</f>
        <v>0</v>
      </c>
      <c r="T76" s="211"/>
      <c r="U76" s="212" t="e">
        <f>T76/U$54</f>
        <v>#DIV/0!</v>
      </c>
      <c r="V76" s="182"/>
      <c r="W76" s="811">
        <f t="shared" si="18"/>
        <v>0</v>
      </c>
      <c r="X76" s="213" t="e">
        <f t="shared" si="19"/>
        <v>#DIV/0!</v>
      </c>
    </row>
    <row r="77" spans="1:24" ht="15" customHeight="1" thickTop="1" x14ac:dyDescent="0.2">
      <c r="A77" s="462" t="s">
        <v>160</v>
      </c>
    </row>
    <row r="78" spans="1:24" x14ac:dyDescent="0.2">
      <c r="A78" s="1"/>
      <c r="H78" s="47" t="s">
        <v>19</v>
      </c>
      <c r="J78" s="47" t="s">
        <v>19</v>
      </c>
      <c r="L78" s="47" t="s">
        <v>19</v>
      </c>
      <c r="N78" s="47" t="s">
        <v>19</v>
      </c>
      <c r="P78" s="47" t="s">
        <v>19</v>
      </c>
      <c r="R78" s="47" t="s">
        <v>19</v>
      </c>
      <c r="T78" s="47" t="s">
        <v>19</v>
      </c>
    </row>
    <row r="79" spans="1:24" x14ac:dyDescent="0.2">
      <c r="A79" s="1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</sheetData>
  <mergeCells count="77">
    <mergeCell ref="N42:O42"/>
    <mergeCell ref="P42:Q42"/>
    <mergeCell ref="R42:S42"/>
    <mergeCell ref="W42:X42"/>
    <mergeCell ref="B42:C42"/>
    <mergeCell ref="D42:E42"/>
    <mergeCell ref="F42:G42"/>
    <mergeCell ref="H42:I42"/>
    <mergeCell ref="J42:K42"/>
    <mergeCell ref="L42:M42"/>
    <mergeCell ref="T42:U42"/>
    <mergeCell ref="N9:O9"/>
    <mergeCell ref="P9:Q9"/>
    <mergeCell ref="R9:S9"/>
    <mergeCell ref="W9:X9"/>
    <mergeCell ref="B9:C9"/>
    <mergeCell ref="D9:E9"/>
    <mergeCell ref="F9:G9"/>
    <mergeCell ref="H9:I9"/>
    <mergeCell ref="J9:K9"/>
    <mergeCell ref="L9:M9"/>
    <mergeCell ref="T9:U9"/>
    <mergeCell ref="L19:M19"/>
    <mergeCell ref="N19:O19"/>
    <mergeCell ref="P19:Q19"/>
    <mergeCell ref="R19:S19"/>
    <mergeCell ref="W19:X19"/>
    <mergeCell ref="T19:U19"/>
    <mergeCell ref="B19:C19"/>
    <mergeCell ref="D19:E19"/>
    <mergeCell ref="F19:G19"/>
    <mergeCell ref="H19:I19"/>
    <mergeCell ref="J19:K19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W24:X24"/>
    <mergeCell ref="T24:U24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W26:X26"/>
    <mergeCell ref="T26:U26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W33:X33"/>
    <mergeCell ref="T33:U33"/>
    <mergeCell ref="B36:C36"/>
    <mergeCell ref="D36:E36"/>
    <mergeCell ref="F36:G36"/>
    <mergeCell ref="H36:I36"/>
    <mergeCell ref="J36:K36"/>
    <mergeCell ref="N36:O36"/>
    <mergeCell ref="P36:Q36"/>
    <mergeCell ref="R36:S36"/>
    <mergeCell ref="W36:X36"/>
    <mergeCell ref="L36:M36"/>
    <mergeCell ref="T36:U36"/>
  </mergeCells>
  <printOptions horizontalCentered="1"/>
  <pageMargins left="0.7" right="0.7" top="0.5" bottom="0.5" header="0.3" footer="0.3"/>
  <pageSetup scale="70" orientation="landscape" r:id="rId1"/>
  <headerFooter alignWithMargins="0">
    <oddFooter>&amp;LPrepared by Planning and Analysis&amp;C&amp;P of &amp;N&amp;RUpdated &amp;D</oddFooter>
  </headerFooter>
  <rowBreaks count="1" manualBreakCount="1">
    <brk id="40" max="21" man="1"/>
  </rowBreaks>
  <colBreaks count="1" manualBreakCount="1">
    <brk id="21" min="7" max="77" man="1"/>
  </colBreaks>
  <ignoredErrors>
    <ignoredError sqref="J57:J7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3"/>
  <sheetViews>
    <sheetView view="pageBreakPreview" zoomScaleNormal="85" zoomScaleSheetLayoutView="100" workbookViewId="0">
      <pane xSplit="1" ySplit="1" topLeftCell="L26" activePane="bottomRight" state="frozen"/>
      <selection activeCell="W23" sqref="W23:X23"/>
      <selection pane="topRight" activeCell="W23" sqref="W23:X23"/>
      <selection pane="bottomLeft" activeCell="W23" sqref="W23:X23"/>
      <selection pane="bottomRight" activeCell="W23" sqref="W23:X23"/>
    </sheetView>
  </sheetViews>
  <sheetFormatPr defaultColWidth="10.28515625" defaultRowHeight="12.75" x14ac:dyDescent="0.2"/>
  <cols>
    <col min="1" max="1" width="40.28515625" customWidth="1"/>
    <col min="2" max="2" width="6.7109375" hidden="1" customWidth="1"/>
    <col min="3" max="3" width="10.7109375" hidden="1" customWidth="1"/>
    <col min="4" max="4" width="7.4257812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4" ht="15.75" x14ac:dyDescent="0.25">
      <c r="A1" s="438" t="s">
        <v>148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2" spans="1:24" ht="15.75" x14ac:dyDescent="0.25">
      <c r="A2" s="438" t="s">
        <v>149</v>
      </c>
    </row>
    <row r="3" spans="1:24" x14ac:dyDescent="0.2">
      <c r="A3" s="439"/>
    </row>
    <row r="4" spans="1:24" ht="15.75" x14ac:dyDescent="0.25">
      <c r="A4" s="440" t="s">
        <v>150</v>
      </c>
    </row>
    <row r="5" spans="1:24" x14ac:dyDescent="0.2">
      <c r="A5" s="439"/>
      <c r="U5" s="47" t="s">
        <v>19</v>
      </c>
    </row>
    <row r="6" spans="1:24" x14ac:dyDescent="0.2">
      <c r="A6" s="439" t="s">
        <v>155</v>
      </c>
    </row>
    <row r="7" spans="1:24" x14ac:dyDescent="0.2">
      <c r="A7" s="441">
        <v>3670045065</v>
      </c>
    </row>
    <row r="8" spans="1:24" ht="13.5" thickBot="1" x14ac:dyDescent="0.25">
      <c r="A8" s="1"/>
    </row>
    <row r="9" spans="1:24" ht="14.25" thickTop="1" thickBot="1" x14ac:dyDescent="0.25">
      <c r="A9" s="3"/>
      <c r="B9" s="943" t="s">
        <v>0</v>
      </c>
      <c r="C9" s="940"/>
      <c r="D9" s="943" t="s">
        <v>1</v>
      </c>
      <c r="E9" s="940"/>
      <c r="F9" s="943" t="s">
        <v>2</v>
      </c>
      <c r="G9" s="940"/>
      <c r="H9" s="943" t="s">
        <v>3</v>
      </c>
      <c r="I9" s="940"/>
      <c r="J9" s="943" t="s">
        <v>4</v>
      </c>
      <c r="K9" s="940"/>
      <c r="L9" s="943" t="s">
        <v>5</v>
      </c>
      <c r="M9" s="940"/>
      <c r="N9" s="943" t="s">
        <v>6</v>
      </c>
      <c r="O9" s="940"/>
      <c r="P9" s="943" t="s">
        <v>7</v>
      </c>
      <c r="Q9" s="940"/>
      <c r="R9" s="943" t="s">
        <v>8</v>
      </c>
      <c r="S9" s="940"/>
      <c r="T9" s="943" t="s">
        <v>186</v>
      </c>
      <c r="U9" s="944"/>
      <c r="W9" s="957" t="s">
        <v>9</v>
      </c>
      <c r="X9" s="958"/>
    </row>
    <row r="10" spans="1:24" x14ac:dyDescent="0.2">
      <c r="A10" s="4"/>
      <c r="B10" s="49" t="s">
        <v>10</v>
      </c>
      <c r="C10" s="7" t="s">
        <v>11</v>
      </c>
      <c r="D10" s="846" t="s">
        <v>10</v>
      </c>
      <c r="E10" s="7"/>
      <c r="F10" s="49" t="s">
        <v>10</v>
      </c>
      <c r="G10" s="7"/>
      <c r="H10" s="49" t="s">
        <v>10</v>
      </c>
      <c r="I10" s="7"/>
      <c r="J10" s="49" t="s">
        <v>10</v>
      </c>
      <c r="K10" s="7"/>
      <c r="L10" s="49" t="s">
        <v>10</v>
      </c>
      <c r="M10" s="7"/>
      <c r="N10" s="49" t="s">
        <v>10</v>
      </c>
      <c r="O10" s="7"/>
      <c r="P10" s="49" t="s">
        <v>10</v>
      </c>
      <c r="Q10" s="7"/>
      <c r="R10" s="49" t="s">
        <v>10</v>
      </c>
      <c r="S10" s="849"/>
      <c r="T10" s="49" t="s">
        <v>10</v>
      </c>
      <c r="U10" s="74"/>
      <c r="W10" s="613" t="s">
        <v>12</v>
      </c>
      <c r="X10" s="851"/>
    </row>
    <row r="11" spans="1:24" ht="25.5" customHeight="1" thickBot="1" x14ac:dyDescent="0.25">
      <c r="A11" s="51" t="s">
        <v>73</v>
      </c>
      <c r="B11" s="50" t="s">
        <v>14</v>
      </c>
      <c r="C11" s="50" t="s">
        <v>15</v>
      </c>
      <c r="D11" s="688" t="s">
        <v>174</v>
      </c>
      <c r="E11" s="670" t="s">
        <v>173</v>
      </c>
      <c r="F11" s="688" t="s">
        <v>174</v>
      </c>
      <c r="G11" s="670" t="s">
        <v>173</v>
      </c>
      <c r="H11" s="688" t="s">
        <v>174</v>
      </c>
      <c r="I11" s="670" t="s">
        <v>173</v>
      </c>
      <c r="J11" s="688" t="s">
        <v>174</v>
      </c>
      <c r="K11" s="670" t="s">
        <v>173</v>
      </c>
      <c r="L11" s="688" t="s">
        <v>174</v>
      </c>
      <c r="M11" s="670" t="s">
        <v>173</v>
      </c>
      <c r="N11" s="688" t="s">
        <v>174</v>
      </c>
      <c r="O11" s="670" t="s">
        <v>173</v>
      </c>
      <c r="P11" s="688" t="s">
        <v>174</v>
      </c>
      <c r="Q11" s="670" t="s">
        <v>173</v>
      </c>
      <c r="R11" s="688" t="s">
        <v>174</v>
      </c>
      <c r="S11" s="670" t="s">
        <v>173</v>
      </c>
      <c r="T11" s="688" t="s">
        <v>174</v>
      </c>
      <c r="U11" s="847" t="s">
        <v>173</v>
      </c>
      <c r="W11" s="850" t="s">
        <v>174</v>
      </c>
      <c r="X11" s="847" t="s">
        <v>173</v>
      </c>
    </row>
    <row r="12" spans="1:24" ht="15" customHeight="1" x14ac:dyDescent="0.2">
      <c r="A12" s="104" t="s">
        <v>95</v>
      </c>
      <c r="B12" s="129"/>
      <c r="C12" s="130"/>
      <c r="D12" s="11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5"/>
      <c r="V12" s="776"/>
      <c r="W12" s="775"/>
      <c r="X12" s="21"/>
    </row>
    <row r="13" spans="1:24" s="20" customFormat="1" ht="15" customHeight="1" x14ac:dyDescent="0.2">
      <c r="A13" s="17" t="s">
        <v>16</v>
      </c>
      <c r="B13" s="18">
        <v>116</v>
      </c>
      <c r="C13" s="84"/>
      <c r="D13" s="19">
        <v>111</v>
      </c>
      <c r="E13" s="86"/>
      <c r="F13" s="18">
        <v>122</v>
      </c>
      <c r="G13" s="86"/>
      <c r="H13" s="18">
        <v>106</v>
      </c>
      <c r="I13" s="86"/>
      <c r="J13" s="18">
        <v>132</v>
      </c>
      <c r="K13" s="86"/>
      <c r="L13" s="18">
        <v>158</v>
      </c>
      <c r="M13" s="86"/>
      <c r="N13" s="18">
        <v>204</v>
      </c>
      <c r="O13" s="86"/>
      <c r="P13" s="18">
        <v>259</v>
      </c>
      <c r="Q13" s="88"/>
      <c r="R13" s="18">
        <f>136+107+7</f>
        <v>250</v>
      </c>
      <c r="S13" s="86"/>
      <c r="T13" s="92">
        <v>315</v>
      </c>
      <c r="U13" s="90"/>
      <c r="W13" s="16">
        <f t="shared" ref="W13:W18" si="0">AVERAGE(N13,L13,R13,T13,P13)</f>
        <v>237.2</v>
      </c>
      <c r="X13" s="264"/>
    </row>
    <row r="14" spans="1:24" s="20" customFormat="1" ht="15" customHeight="1" thickBot="1" x14ac:dyDescent="0.25">
      <c r="A14" s="22" t="s">
        <v>17</v>
      </c>
      <c r="B14" s="24">
        <v>81</v>
      </c>
      <c r="C14" s="85"/>
      <c r="D14" s="67">
        <v>92</v>
      </c>
      <c r="E14" s="87"/>
      <c r="F14" s="24">
        <v>78</v>
      </c>
      <c r="G14" s="87"/>
      <c r="H14" s="24">
        <v>104</v>
      </c>
      <c r="I14" s="87"/>
      <c r="J14" s="24">
        <v>126</v>
      </c>
      <c r="K14" s="87"/>
      <c r="L14" s="24">
        <v>116</v>
      </c>
      <c r="M14" s="87"/>
      <c r="N14" s="24">
        <v>127</v>
      </c>
      <c r="O14" s="87"/>
      <c r="P14" s="24">
        <v>154</v>
      </c>
      <c r="Q14" s="89"/>
      <c r="R14" s="24">
        <f>94+106</f>
        <v>200</v>
      </c>
      <c r="S14" s="87"/>
      <c r="T14" s="24">
        <v>266</v>
      </c>
      <c r="U14" s="91"/>
      <c r="W14" s="16">
        <f t="shared" si="0"/>
        <v>172.6</v>
      </c>
      <c r="X14" s="275"/>
    </row>
    <row r="15" spans="1:24" s="53" customFormat="1" ht="15" customHeight="1" thickBot="1" x14ac:dyDescent="0.25">
      <c r="A15" s="75" t="s">
        <v>18</v>
      </c>
      <c r="B15" s="68">
        <f>SUM(B13:B14)</f>
        <v>197</v>
      </c>
      <c r="C15" s="77">
        <v>18</v>
      </c>
      <c r="D15" s="68">
        <f>SUM(D13:D14)</f>
        <v>203</v>
      </c>
      <c r="E15" s="77">
        <v>30</v>
      </c>
      <c r="F15" s="68">
        <f>SUM(F13:F14)</f>
        <v>200</v>
      </c>
      <c r="G15" s="77">
        <v>13</v>
      </c>
      <c r="H15" s="68">
        <f>SUM(H13:H14)</f>
        <v>210</v>
      </c>
      <c r="I15" s="77">
        <v>22</v>
      </c>
      <c r="J15" s="68">
        <f>SUM(J13:J14)</f>
        <v>258</v>
      </c>
      <c r="K15" s="77">
        <v>36</v>
      </c>
      <c r="L15" s="68">
        <f>SUM(L13:L14)</f>
        <v>274</v>
      </c>
      <c r="M15" s="77">
        <v>31</v>
      </c>
      <c r="N15" s="68">
        <f>SUM(N13:N14)</f>
        <v>331</v>
      </c>
      <c r="O15" s="77">
        <v>35</v>
      </c>
      <c r="P15" s="68">
        <f>SUM(P13:P14)</f>
        <v>413</v>
      </c>
      <c r="Q15" s="848">
        <v>28</v>
      </c>
      <c r="R15" s="774">
        <f>SUM(R13:R14)</f>
        <v>450</v>
      </c>
      <c r="S15" s="77">
        <v>34</v>
      </c>
      <c r="T15" s="68">
        <f>SUM(T13:T14)</f>
        <v>581</v>
      </c>
      <c r="U15" s="852">
        <f>SUM(U13:U14)</f>
        <v>0</v>
      </c>
      <c r="W15" s="272">
        <f>AVERAGE(N15,L15,R15,T15,P15)</f>
        <v>409.8</v>
      </c>
      <c r="X15" s="273">
        <f>AVERAGE(O15,M15,K15,S15,Q15)</f>
        <v>32.799999999999997</v>
      </c>
    </row>
    <row r="16" spans="1:24" s="53" customFormat="1" ht="15" customHeight="1" x14ac:dyDescent="0.2">
      <c r="A16" s="123" t="s">
        <v>96</v>
      </c>
      <c r="B16" s="145">
        <v>3</v>
      </c>
      <c r="C16" s="147">
        <v>5</v>
      </c>
      <c r="D16" s="13">
        <v>4</v>
      </c>
      <c r="E16" s="166">
        <v>10</v>
      </c>
      <c r="F16" s="13">
        <v>4</v>
      </c>
      <c r="G16" s="166">
        <v>9</v>
      </c>
      <c r="H16" s="13">
        <v>2</v>
      </c>
      <c r="I16" s="166">
        <v>4</v>
      </c>
      <c r="J16" s="13">
        <v>2</v>
      </c>
      <c r="K16" s="166">
        <v>7</v>
      </c>
      <c r="L16" s="13">
        <f>3+1</f>
        <v>4</v>
      </c>
      <c r="M16" s="166">
        <v>4</v>
      </c>
      <c r="N16" s="13">
        <v>16</v>
      </c>
      <c r="O16" s="166">
        <v>10</v>
      </c>
      <c r="P16" s="13">
        <v>26</v>
      </c>
      <c r="Q16" s="166">
        <v>10</v>
      </c>
      <c r="R16" s="13">
        <v>37</v>
      </c>
      <c r="S16" s="166">
        <v>11</v>
      </c>
      <c r="T16" s="408">
        <v>34</v>
      </c>
      <c r="U16" s="842"/>
      <c r="W16" s="16">
        <f t="shared" si="0"/>
        <v>23.4</v>
      </c>
      <c r="X16" s="271">
        <f t="shared" ref="X16:X18" si="1">AVERAGE(O16,M16,K16,S16,Q16)</f>
        <v>8.4</v>
      </c>
    </row>
    <row r="17" spans="1:24" s="53" customFormat="1" ht="15" customHeight="1" x14ac:dyDescent="0.2">
      <c r="A17" s="123" t="s">
        <v>97</v>
      </c>
      <c r="B17" s="145">
        <v>66</v>
      </c>
      <c r="C17" s="147">
        <f>12+1</f>
        <v>13</v>
      </c>
      <c r="D17" s="13">
        <v>63</v>
      </c>
      <c r="E17" s="166">
        <v>27</v>
      </c>
      <c r="F17" s="13">
        <v>63</v>
      </c>
      <c r="G17" s="166">
        <v>20</v>
      </c>
      <c r="H17" s="13">
        <v>55</v>
      </c>
      <c r="I17" s="166">
        <v>23</v>
      </c>
      <c r="J17" s="13">
        <v>41</v>
      </c>
      <c r="K17" s="166">
        <v>22</v>
      </c>
      <c r="L17" s="13">
        <v>35</v>
      </c>
      <c r="M17" s="166">
        <v>16</v>
      </c>
      <c r="N17" s="13">
        <v>41</v>
      </c>
      <c r="O17" s="166">
        <v>17</v>
      </c>
      <c r="P17" s="13">
        <v>37</v>
      </c>
      <c r="Q17" s="166">
        <v>18</v>
      </c>
      <c r="R17" s="13">
        <v>29</v>
      </c>
      <c r="S17" s="166">
        <v>15</v>
      </c>
      <c r="T17" s="409">
        <v>20</v>
      </c>
      <c r="U17" s="853"/>
      <c r="W17" s="16">
        <f t="shared" si="0"/>
        <v>32.4</v>
      </c>
      <c r="X17" s="271">
        <f t="shared" si="1"/>
        <v>17.600000000000001</v>
      </c>
    </row>
    <row r="18" spans="1:24" s="53" customFormat="1" ht="15" customHeight="1" x14ac:dyDescent="0.2">
      <c r="A18" s="123" t="s">
        <v>87</v>
      </c>
      <c r="B18" s="145">
        <v>21</v>
      </c>
      <c r="C18" s="147">
        <v>4</v>
      </c>
      <c r="D18" s="13">
        <v>27</v>
      </c>
      <c r="E18" s="166">
        <v>5</v>
      </c>
      <c r="F18" s="13">
        <v>25</v>
      </c>
      <c r="G18" s="166">
        <v>1</v>
      </c>
      <c r="H18" s="13">
        <v>31</v>
      </c>
      <c r="I18" s="166">
        <v>0</v>
      </c>
      <c r="J18" s="13">
        <v>34</v>
      </c>
      <c r="K18" s="166">
        <v>4</v>
      </c>
      <c r="L18" s="13">
        <v>34</v>
      </c>
      <c r="M18" s="166">
        <v>3</v>
      </c>
      <c r="N18" s="13">
        <v>36</v>
      </c>
      <c r="O18" s="166">
        <v>4</v>
      </c>
      <c r="P18" s="13">
        <v>35</v>
      </c>
      <c r="Q18" s="166">
        <v>7</v>
      </c>
      <c r="R18" s="13">
        <v>35</v>
      </c>
      <c r="S18" s="166">
        <v>7</v>
      </c>
      <c r="T18" s="409">
        <v>46</v>
      </c>
      <c r="U18" s="853"/>
      <c r="W18" s="16">
        <f t="shared" si="0"/>
        <v>37.200000000000003</v>
      </c>
      <c r="X18" s="271">
        <f t="shared" si="1"/>
        <v>5</v>
      </c>
    </row>
    <row r="19" spans="1:24" ht="24" x14ac:dyDescent="0.2">
      <c r="A19" s="117" t="s">
        <v>98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3"/>
      <c r="U19" s="833"/>
      <c r="V19" s="776"/>
      <c r="W19" s="775"/>
      <c r="X19" s="21"/>
    </row>
    <row r="20" spans="1:24" s="20" customFormat="1" ht="15" customHeight="1" x14ac:dyDescent="0.2">
      <c r="A20" s="17" t="s">
        <v>97</v>
      </c>
      <c r="B20" s="145">
        <v>34</v>
      </c>
      <c r="C20" s="147">
        <v>10</v>
      </c>
      <c r="D20" s="13">
        <v>35</v>
      </c>
      <c r="E20" s="166">
        <v>10</v>
      </c>
      <c r="F20" s="13">
        <v>29</v>
      </c>
      <c r="G20" s="166">
        <v>13</v>
      </c>
      <c r="H20" s="13">
        <v>21</v>
      </c>
      <c r="I20" s="166">
        <v>8</v>
      </c>
      <c r="J20" s="13">
        <v>13</v>
      </c>
      <c r="K20" s="166">
        <v>9</v>
      </c>
      <c r="L20" s="13">
        <v>14</v>
      </c>
      <c r="M20" s="166">
        <v>4</v>
      </c>
      <c r="N20" s="13">
        <v>14</v>
      </c>
      <c r="O20" s="166">
        <v>6</v>
      </c>
      <c r="P20" s="13">
        <v>12</v>
      </c>
      <c r="Q20" s="166">
        <v>2</v>
      </c>
      <c r="R20" s="13">
        <v>13</v>
      </c>
      <c r="S20" s="166">
        <v>1</v>
      </c>
      <c r="T20" s="18">
        <v>13</v>
      </c>
      <c r="U20" s="90"/>
      <c r="V20" s="782"/>
      <c r="W20" s="16">
        <f>AVERAGE(N20,L20,R20,T20,P20)</f>
        <v>13.2</v>
      </c>
      <c r="X20" s="271">
        <f>AVERAGE(O20,M20,K20,S20,Q20)</f>
        <v>4.4000000000000004</v>
      </c>
    </row>
    <row r="21" spans="1:24" ht="15" customHeight="1" x14ac:dyDescent="0.2">
      <c r="A21" s="104" t="s">
        <v>99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  <c r="N21" s="11"/>
      <c r="O21" s="12"/>
      <c r="P21" s="11"/>
      <c r="Q21" s="12"/>
      <c r="R21" s="11"/>
      <c r="S21" s="12"/>
      <c r="T21" s="13"/>
      <c r="U21" s="833"/>
      <c r="V21" s="776"/>
      <c r="W21" s="775"/>
      <c r="X21" s="21"/>
    </row>
    <row r="22" spans="1:24" s="20" customFormat="1" ht="15" customHeight="1" x14ac:dyDescent="0.2">
      <c r="A22" s="17" t="s">
        <v>16</v>
      </c>
      <c r="B22" s="101">
        <v>25</v>
      </c>
      <c r="C22" s="125"/>
      <c r="D22" s="101">
        <v>21</v>
      </c>
      <c r="E22" s="125"/>
      <c r="F22" s="101">
        <v>12</v>
      </c>
      <c r="G22" s="856"/>
      <c r="H22" s="101">
        <v>6</v>
      </c>
      <c r="I22" s="856"/>
      <c r="J22" s="101">
        <v>10</v>
      </c>
      <c r="K22" s="856"/>
      <c r="L22" s="101">
        <v>11</v>
      </c>
      <c r="M22" s="856"/>
      <c r="N22" s="101">
        <v>19</v>
      </c>
      <c r="O22" s="856"/>
      <c r="P22" s="101">
        <v>20</v>
      </c>
      <c r="Q22" s="856"/>
      <c r="R22" s="101">
        <v>25</v>
      </c>
      <c r="S22" s="856"/>
      <c r="T22" s="92">
        <v>9</v>
      </c>
      <c r="U22" s="90"/>
      <c r="W22" s="16">
        <f>AVERAGE(N22,L22,R22,T22,P22)</f>
        <v>16.8</v>
      </c>
      <c r="X22" s="264"/>
    </row>
    <row r="23" spans="1:24" s="20" customFormat="1" ht="15" customHeight="1" thickBot="1" x14ac:dyDescent="0.25">
      <c r="A23" s="22" t="s">
        <v>17</v>
      </c>
      <c r="B23" s="126">
        <v>30</v>
      </c>
      <c r="C23" s="127"/>
      <c r="D23" s="126">
        <v>25</v>
      </c>
      <c r="E23" s="127"/>
      <c r="F23" s="126">
        <v>28</v>
      </c>
      <c r="G23" s="857"/>
      <c r="H23" s="126">
        <v>28</v>
      </c>
      <c r="I23" s="857"/>
      <c r="J23" s="126">
        <v>28</v>
      </c>
      <c r="K23" s="857"/>
      <c r="L23" s="126">
        <v>24</v>
      </c>
      <c r="M23" s="857"/>
      <c r="N23" s="126">
        <v>25</v>
      </c>
      <c r="O23" s="857"/>
      <c r="P23" s="126">
        <v>30</v>
      </c>
      <c r="Q23" s="857"/>
      <c r="R23" s="126">
        <f>18+25</f>
        <v>43</v>
      </c>
      <c r="S23" s="857"/>
      <c r="T23" s="124">
        <v>48</v>
      </c>
      <c r="U23" s="854"/>
      <c r="W23" s="16">
        <f>AVERAGE(N23,L23,R23,T23,P23)</f>
        <v>34</v>
      </c>
      <c r="X23" s="275"/>
    </row>
    <row r="24" spans="1:24" s="53" customFormat="1" ht="15" customHeight="1" thickBot="1" x14ac:dyDescent="0.25">
      <c r="A24" s="111" t="s">
        <v>18</v>
      </c>
      <c r="B24" s="112">
        <f>SUM(B22:B23)</f>
        <v>55</v>
      </c>
      <c r="C24" s="113">
        <v>14</v>
      </c>
      <c r="D24" s="112">
        <f>SUM(D22:D23)</f>
        <v>46</v>
      </c>
      <c r="E24" s="113">
        <v>10</v>
      </c>
      <c r="F24" s="112">
        <f>SUM(F22:F23)</f>
        <v>40</v>
      </c>
      <c r="G24" s="113">
        <v>1</v>
      </c>
      <c r="H24" s="112">
        <f>SUM(H22:H23)</f>
        <v>34</v>
      </c>
      <c r="I24" s="113">
        <v>8</v>
      </c>
      <c r="J24" s="112">
        <f>SUM(J22:J23)</f>
        <v>38</v>
      </c>
      <c r="K24" s="113">
        <v>11</v>
      </c>
      <c r="L24" s="112">
        <f>SUM(L22:L23)</f>
        <v>35</v>
      </c>
      <c r="M24" s="113">
        <v>6</v>
      </c>
      <c r="N24" s="112">
        <f>SUM(N22:N23)</f>
        <v>44</v>
      </c>
      <c r="O24" s="113">
        <v>7</v>
      </c>
      <c r="P24" s="112">
        <f>SUM(P22:P23)</f>
        <v>50</v>
      </c>
      <c r="Q24" s="113">
        <v>6</v>
      </c>
      <c r="R24" s="112">
        <f>SUM(R22:R23)</f>
        <v>68</v>
      </c>
      <c r="S24" s="113">
        <v>7</v>
      </c>
      <c r="T24" s="112">
        <f>SUM(T22:T23)</f>
        <v>57</v>
      </c>
      <c r="U24" s="855">
        <f>SUM(U22:U23)</f>
        <v>0</v>
      </c>
      <c r="W24" s="276">
        <f>AVERAGE(N24,L24,R24,T24,P24)</f>
        <v>50.8</v>
      </c>
      <c r="X24" s="273">
        <f>AVERAGE(O24,M24,K24,S24,Q24)</f>
        <v>7.4</v>
      </c>
    </row>
    <row r="25" spans="1:24" ht="18" customHeight="1" thickTop="1" thickBot="1" x14ac:dyDescent="0.25">
      <c r="A25" s="52" t="s">
        <v>68</v>
      </c>
      <c r="B25" s="979"/>
      <c r="C25" s="980"/>
      <c r="D25" s="979"/>
      <c r="E25" s="980"/>
      <c r="F25" s="979"/>
      <c r="G25" s="980"/>
      <c r="H25" s="979"/>
      <c r="I25" s="980"/>
      <c r="J25" s="979"/>
      <c r="K25" s="980"/>
      <c r="L25" s="979"/>
      <c r="M25" s="980"/>
      <c r="N25" s="979"/>
      <c r="O25" s="980"/>
      <c r="P25" s="979"/>
      <c r="Q25" s="980"/>
      <c r="R25" s="979"/>
      <c r="S25" s="980"/>
      <c r="T25" s="979"/>
      <c r="U25" s="981"/>
      <c r="W25" s="957"/>
      <c r="X25" s="958"/>
    </row>
    <row r="26" spans="1:24" ht="15" customHeight="1" x14ac:dyDescent="0.2">
      <c r="A26" s="677" t="s">
        <v>75</v>
      </c>
      <c r="B26" s="79"/>
      <c r="C26" s="82"/>
      <c r="D26" s="265"/>
      <c r="E26" s="82"/>
      <c r="F26" s="265"/>
      <c r="G26" s="82"/>
      <c r="H26" s="265"/>
      <c r="I26" s="82"/>
      <c r="J26" s="265"/>
      <c r="K26" s="82"/>
      <c r="L26" s="265"/>
      <c r="M26" s="82"/>
      <c r="N26" s="265"/>
      <c r="O26" s="82"/>
      <c r="P26" s="265"/>
      <c r="Q26" s="82"/>
      <c r="R26" s="265"/>
      <c r="S26" s="82"/>
      <c r="T26" s="265"/>
      <c r="U26" s="83"/>
      <c r="V26" s="277"/>
      <c r="W26" s="818"/>
      <c r="X26" s="614" t="e">
        <f>AVERAGE(O26,M26,S26,U26,Q26)</f>
        <v>#DIV/0!</v>
      </c>
    </row>
    <row r="27" spans="1:24" ht="15" customHeight="1" x14ac:dyDescent="0.2">
      <c r="A27" s="463" t="s">
        <v>120</v>
      </c>
      <c r="B27" s="78"/>
      <c r="C27" s="80">
        <v>0.75</v>
      </c>
      <c r="D27" s="78"/>
      <c r="E27" s="80">
        <v>0.84</v>
      </c>
      <c r="F27" s="78"/>
      <c r="G27" s="80">
        <v>0.77</v>
      </c>
      <c r="H27" s="78"/>
      <c r="I27" s="80">
        <v>0.7</v>
      </c>
      <c r="J27" s="78"/>
      <c r="K27" s="80">
        <v>0.57999999999999996</v>
      </c>
      <c r="L27" s="78"/>
      <c r="M27" s="80">
        <v>0.86</v>
      </c>
      <c r="N27" s="78"/>
      <c r="O27" s="80">
        <v>0.67</v>
      </c>
      <c r="P27" s="78"/>
      <c r="Q27" s="80">
        <v>0.93</v>
      </c>
      <c r="R27" s="78"/>
      <c r="S27" s="935"/>
      <c r="T27" s="281"/>
      <c r="U27" s="828"/>
      <c r="W27" s="643"/>
      <c r="X27" s="615">
        <f t="shared" ref="X27:X30" si="2">AVERAGE(O27,M27,K27,S27,Q27)</f>
        <v>0.76</v>
      </c>
    </row>
    <row r="28" spans="1:24" ht="15" customHeight="1" x14ac:dyDescent="0.2">
      <c r="A28" s="463" t="s">
        <v>121</v>
      </c>
      <c r="B28" s="78"/>
      <c r="C28" s="80">
        <v>0.67</v>
      </c>
      <c r="D28" s="78"/>
      <c r="E28" s="80">
        <v>1</v>
      </c>
      <c r="F28" s="78"/>
      <c r="G28" s="80">
        <v>1</v>
      </c>
      <c r="H28" s="78"/>
      <c r="I28" s="80">
        <v>0.86</v>
      </c>
      <c r="J28" s="78"/>
      <c r="K28" s="80">
        <v>0.75</v>
      </c>
      <c r="L28" s="78"/>
      <c r="M28" s="80">
        <v>1</v>
      </c>
      <c r="N28" s="78"/>
      <c r="O28" s="80">
        <v>0.71</v>
      </c>
      <c r="P28" s="78"/>
      <c r="Q28" s="80">
        <v>0.83</v>
      </c>
      <c r="R28" s="78"/>
      <c r="S28" s="935"/>
      <c r="T28" s="281"/>
      <c r="U28" s="828"/>
      <c r="W28" s="643"/>
      <c r="X28" s="615">
        <f t="shared" si="2"/>
        <v>0.82250000000000001</v>
      </c>
    </row>
    <row r="29" spans="1:24" ht="15" customHeight="1" x14ac:dyDescent="0.2">
      <c r="A29" s="463" t="s">
        <v>122</v>
      </c>
      <c r="B29" s="55"/>
      <c r="C29" s="81">
        <v>0.25</v>
      </c>
      <c r="D29" s="55"/>
      <c r="E29" s="81">
        <v>0.1</v>
      </c>
      <c r="F29" s="55"/>
      <c r="G29" s="81">
        <v>0.15</v>
      </c>
      <c r="H29" s="55"/>
      <c r="I29" s="81">
        <v>0.22</v>
      </c>
      <c r="J29" s="55"/>
      <c r="K29" s="81">
        <v>0.31</v>
      </c>
      <c r="L29" s="55"/>
      <c r="M29" s="81">
        <v>0.11</v>
      </c>
      <c r="N29" s="55"/>
      <c r="O29" s="81">
        <v>0.24</v>
      </c>
      <c r="P29" s="55"/>
      <c r="Q29" s="81">
        <v>7.0000000000000007E-2</v>
      </c>
      <c r="R29" s="55"/>
      <c r="S29" s="936"/>
      <c r="T29" s="282"/>
      <c r="U29" s="835"/>
      <c r="W29" s="48"/>
      <c r="X29" s="615">
        <f t="shared" si="2"/>
        <v>0.1825</v>
      </c>
    </row>
    <row r="30" spans="1:24" ht="15" customHeight="1" x14ac:dyDescent="0.2">
      <c r="A30" s="463" t="s">
        <v>123</v>
      </c>
      <c r="B30" s="55"/>
      <c r="C30" s="81">
        <v>0.08</v>
      </c>
      <c r="D30" s="55"/>
      <c r="E30" s="81">
        <v>0</v>
      </c>
      <c r="F30" s="55"/>
      <c r="G30" s="81">
        <v>0</v>
      </c>
      <c r="H30" s="55"/>
      <c r="I30" s="81">
        <v>0</v>
      </c>
      <c r="J30" s="55"/>
      <c r="K30" s="81">
        <v>0</v>
      </c>
      <c r="L30" s="55"/>
      <c r="M30" s="81">
        <v>0</v>
      </c>
      <c r="N30" s="55"/>
      <c r="O30" s="81">
        <v>0</v>
      </c>
      <c r="P30" s="55"/>
      <c r="Q30" s="81">
        <v>0</v>
      </c>
      <c r="R30" s="55"/>
      <c r="S30" s="936"/>
      <c r="T30" s="282"/>
      <c r="U30" s="835"/>
      <c r="W30" s="48"/>
      <c r="X30" s="615">
        <f t="shared" si="2"/>
        <v>0</v>
      </c>
    </row>
    <row r="31" spans="1:24" ht="15" customHeight="1" thickBot="1" x14ac:dyDescent="0.25">
      <c r="A31" s="570" t="s">
        <v>72</v>
      </c>
      <c r="B31" s="56"/>
      <c r="C31" s="57"/>
      <c r="D31" s="56"/>
      <c r="E31" s="57"/>
      <c r="F31" s="56"/>
      <c r="G31" s="57"/>
      <c r="H31" s="56"/>
      <c r="I31" s="57"/>
      <c r="J31" s="56"/>
      <c r="K31" s="57"/>
      <c r="L31" s="56"/>
      <c r="M31" s="57"/>
      <c r="N31" s="56"/>
      <c r="O31" s="57"/>
      <c r="P31" s="56"/>
      <c r="Q31" s="57"/>
      <c r="R31" s="56"/>
      <c r="S31" s="57"/>
      <c r="T31" s="56"/>
      <c r="U31" s="58"/>
      <c r="W31" s="279"/>
      <c r="X31" s="816" t="e">
        <f t="shared" ref="X31" si="3">AVERAGE(O31,M31,S31,U31,Q31)</f>
        <v>#DIV/0!</v>
      </c>
    </row>
    <row r="32" spans="1:24" ht="18" customHeight="1" thickTop="1" thickBot="1" x14ac:dyDescent="0.25">
      <c r="A32" s="230" t="s">
        <v>74</v>
      </c>
      <c r="B32" s="967"/>
      <c r="C32" s="968"/>
      <c r="D32" s="967"/>
      <c r="E32" s="968"/>
      <c r="F32" s="967"/>
      <c r="G32" s="968"/>
      <c r="H32" s="967"/>
      <c r="I32" s="968"/>
      <c r="J32" s="967"/>
      <c r="K32" s="968"/>
      <c r="L32" s="967"/>
      <c r="M32" s="968"/>
      <c r="N32" s="967"/>
      <c r="O32" s="968"/>
      <c r="P32" s="967"/>
      <c r="Q32" s="968"/>
      <c r="R32" s="967"/>
      <c r="S32" s="968"/>
      <c r="T32" s="967"/>
      <c r="U32" s="962"/>
      <c r="V32" s="231"/>
      <c r="W32" s="961"/>
      <c r="X32" s="962"/>
    </row>
    <row r="33" spans="1:27" ht="15" customHeight="1" x14ac:dyDescent="0.2">
      <c r="A33" s="665" t="s">
        <v>100</v>
      </c>
      <c r="B33" s="285"/>
      <c r="C33" s="284">
        <v>27.3</v>
      </c>
      <c r="D33" s="285"/>
      <c r="E33" s="284">
        <v>27.1</v>
      </c>
      <c r="F33" s="285"/>
      <c r="G33" s="284">
        <v>26</v>
      </c>
      <c r="H33" s="285"/>
      <c r="I33" s="284">
        <v>27.3</v>
      </c>
      <c r="J33" s="285"/>
      <c r="K33" s="284">
        <v>27.2</v>
      </c>
      <c r="L33" s="285"/>
      <c r="M33" s="284">
        <v>27.2</v>
      </c>
      <c r="N33" s="285"/>
      <c r="O33" s="284">
        <v>27.5</v>
      </c>
      <c r="P33" s="285"/>
      <c r="Q33" s="284">
        <v>27.4</v>
      </c>
      <c r="R33" s="285"/>
      <c r="S33" s="284">
        <v>27.5</v>
      </c>
      <c r="T33" s="285"/>
      <c r="U33" s="286"/>
      <c r="V33" s="332"/>
      <c r="W33" s="333"/>
      <c r="X33" s="821">
        <f>AVERAGE(O33,M33,U33,S33,Q33)</f>
        <v>27.4</v>
      </c>
      <c r="AA33" s="66"/>
    </row>
    <row r="34" spans="1:27" ht="15" customHeight="1" thickBot="1" x14ac:dyDescent="0.25">
      <c r="A34" s="666" t="s">
        <v>101</v>
      </c>
      <c r="B34" s="256"/>
      <c r="C34" s="257">
        <v>24.4</v>
      </c>
      <c r="D34" s="256"/>
      <c r="E34" s="257">
        <v>25.1</v>
      </c>
      <c r="F34" s="256"/>
      <c r="G34" s="257">
        <v>24.8</v>
      </c>
      <c r="H34" s="256"/>
      <c r="I34" s="257">
        <v>25.4</v>
      </c>
      <c r="J34" s="256"/>
      <c r="K34" s="257">
        <v>25.1</v>
      </c>
      <c r="L34" s="256"/>
      <c r="M34" s="257">
        <v>22.8</v>
      </c>
      <c r="N34" s="256"/>
      <c r="O34" s="257">
        <v>24.1</v>
      </c>
      <c r="P34" s="256"/>
      <c r="Q34" s="257">
        <v>24.9</v>
      </c>
      <c r="R34" s="256"/>
      <c r="S34" s="257">
        <v>26.9</v>
      </c>
      <c r="T34" s="256"/>
      <c r="U34" s="258"/>
      <c r="V34" s="231"/>
      <c r="W34" s="317"/>
      <c r="X34" s="821">
        <f>AVERAGE(O34,M34,U34,S34,Q34)</f>
        <v>24.675000000000004</v>
      </c>
      <c r="AA34" s="66"/>
    </row>
    <row r="35" spans="1:27" ht="18" customHeight="1" thickTop="1" thickBot="1" x14ac:dyDescent="0.25">
      <c r="A35" s="63" t="s">
        <v>21</v>
      </c>
      <c r="B35" s="979"/>
      <c r="C35" s="980"/>
      <c r="D35" s="979"/>
      <c r="E35" s="980"/>
      <c r="F35" s="979"/>
      <c r="G35" s="980"/>
      <c r="H35" s="979"/>
      <c r="I35" s="980"/>
      <c r="J35" s="979"/>
      <c r="K35" s="980"/>
      <c r="L35" s="979"/>
      <c r="M35" s="980"/>
      <c r="N35" s="979"/>
      <c r="O35" s="980"/>
      <c r="P35" s="979"/>
      <c r="Q35" s="980"/>
      <c r="R35" s="979"/>
      <c r="S35" s="980"/>
      <c r="T35" s="979"/>
      <c r="U35" s="981"/>
      <c r="W35" s="957"/>
      <c r="X35" s="958"/>
    </row>
    <row r="36" spans="1:27" ht="15" customHeight="1" x14ac:dyDescent="0.2">
      <c r="A36" s="463" t="s">
        <v>22</v>
      </c>
      <c r="B36" s="33"/>
      <c r="C36" s="34">
        <v>6000</v>
      </c>
      <c r="D36" s="33"/>
      <c r="E36" s="34">
        <v>5633</v>
      </c>
      <c r="F36" s="33"/>
      <c r="G36" s="34">
        <v>6078</v>
      </c>
      <c r="H36" s="33"/>
      <c r="I36" s="34">
        <v>6077</v>
      </c>
      <c r="J36" s="33"/>
      <c r="K36" s="34">
        <v>4780</v>
      </c>
      <c r="L36" s="33"/>
      <c r="M36" s="34">
        <v>4246</v>
      </c>
      <c r="N36" s="33"/>
      <c r="O36" s="34">
        <v>4466</v>
      </c>
      <c r="P36" s="33"/>
      <c r="Q36" s="34">
        <v>4138</v>
      </c>
      <c r="R36" s="33"/>
      <c r="S36" s="34">
        <v>3995</v>
      </c>
      <c r="T36" s="33"/>
      <c r="U36" s="822"/>
      <c r="W36" s="36"/>
      <c r="X36" s="271">
        <f t="shared" ref="X36:X40" si="4">AVERAGE(O36,M36,K36,S36,Q36)</f>
        <v>4325</v>
      </c>
    </row>
    <row r="37" spans="1:27" ht="15" customHeight="1" x14ac:dyDescent="0.2">
      <c r="A37" s="463" t="s">
        <v>23</v>
      </c>
      <c r="B37" s="33"/>
      <c r="C37" s="34">
        <v>2033</v>
      </c>
      <c r="D37" s="33"/>
      <c r="E37" s="34">
        <v>1800</v>
      </c>
      <c r="F37" s="33"/>
      <c r="G37" s="34">
        <v>2095</v>
      </c>
      <c r="H37" s="33"/>
      <c r="I37" s="34">
        <v>2406</v>
      </c>
      <c r="J37" s="33"/>
      <c r="K37" s="34">
        <v>2427</v>
      </c>
      <c r="L37" s="33"/>
      <c r="M37" s="34">
        <v>2435</v>
      </c>
      <c r="N37" s="33"/>
      <c r="O37" s="34">
        <v>2718</v>
      </c>
      <c r="P37" s="33"/>
      <c r="Q37" s="34">
        <v>3007</v>
      </c>
      <c r="R37" s="33"/>
      <c r="S37" s="34">
        <v>3767</v>
      </c>
      <c r="T37" s="33"/>
      <c r="U37" s="822"/>
      <c r="W37" s="38"/>
      <c r="X37" s="271">
        <f t="shared" si="4"/>
        <v>2870.8</v>
      </c>
    </row>
    <row r="38" spans="1:27" ht="15" customHeight="1" x14ac:dyDescent="0.2">
      <c r="A38" s="463" t="s">
        <v>24</v>
      </c>
      <c r="B38" s="33"/>
      <c r="C38" s="34">
        <v>1603</v>
      </c>
      <c r="D38" s="33"/>
      <c r="E38" s="34">
        <v>1505</v>
      </c>
      <c r="F38" s="33"/>
      <c r="G38" s="34">
        <v>1352</v>
      </c>
      <c r="H38" s="33"/>
      <c r="I38" s="34">
        <v>1186</v>
      </c>
      <c r="J38" s="33"/>
      <c r="K38" s="34">
        <v>874</v>
      </c>
      <c r="L38" s="33"/>
      <c r="M38" s="34">
        <v>895</v>
      </c>
      <c r="N38" s="33"/>
      <c r="O38" s="34">
        <v>1027</v>
      </c>
      <c r="P38" s="33"/>
      <c r="Q38" s="34">
        <v>881</v>
      </c>
      <c r="R38" s="33"/>
      <c r="S38" s="34">
        <v>906</v>
      </c>
      <c r="T38" s="33"/>
      <c r="U38" s="822"/>
      <c r="W38" s="38"/>
      <c r="X38" s="271">
        <f t="shared" si="4"/>
        <v>916.6</v>
      </c>
    </row>
    <row r="39" spans="1:27" ht="15" customHeight="1" thickBot="1" x14ac:dyDescent="0.25">
      <c r="A39" s="463" t="s">
        <v>25</v>
      </c>
      <c r="B39" s="69"/>
      <c r="C39" s="34">
        <v>154</v>
      </c>
      <c r="D39" s="33"/>
      <c r="E39" s="34">
        <v>212</v>
      </c>
      <c r="F39" s="33"/>
      <c r="G39" s="34">
        <v>202</v>
      </c>
      <c r="H39" s="33"/>
      <c r="I39" s="34">
        <v>220</v>
      </c>
      <c r="J39" s="33"/>
      <c r="K39" s="34">
        <v>282</v>
      </c>
      <c r="L39" s="33"/>
      <c r="M39" s="34">
        <v>275</v>
      </c>
      <c r="N39" s="33"/>
      <c r="O39" s="34">
        <v>284</v>
      </c>
      <c r="P39" s="33"/>
      <c r="Q39" s="34">
        <v>322</v>
      </c>
      <c r="R39" s="33"/>
      <c r="S39" s="34">
        <v>145</v>
      </c>
      <c r="T39" s="69"/>
      <c r="U39" s="830"/>
      <c r="W39" s="45"/>
      <c r="X39" s="271">
        <f t="shared" si="4"/>
        <v>261.60000000000002</v>
      </c>
    </row>
    <row r="40" spans="1:27" ht="15" customHeight="1" thickBot="1" x14ac:dyDescent="0.25">
      <c r="A40" s="41" t="s">
        <v>26</v>
      </c>
      <c r="B40" s="72"/>
      <c r="C40" s="73">
        <f>SUM(C36:C39)</f>
        <v>9790</v>
      </c>
      <c r="D40" s="71"/>
      <c r="E40" s="70">
        <f>SUM(E36:E39)</f>
        <v>9150</v>
      </c>
      <c r="F40" s="72"/>
      <c r="G40" s="70">
        <f>SUM(G36:G39)</f>
        <v>9727</v>
      </c>
      <c r="H40" s="72"/>
      <c r="I40" s="70">
        <f>SUM(I36:I39)</f>
        <v>9889</v>
      </c>
      <c r="J40" s="72"/>
      <c r="K40" s="70">
        <f>SUM(K36:K39)</f>
        <v>8363</v>
      </c>
      <c r="L40" s="72"/>
      <c r="M40" s="70">
        <f>SUM(M36:M39)</f>
        <v>7851</v>
      </c>
      <c r="N40" s="72"/>
      <c r="O40" s="70">
        <f>SUM(O36:O39)</f>
        <v>8495</v>
      </c>
      <c r="P40" s="72"/>
      <c r="Q40" s="70">
        <f>SUM(Q36:Q39)</f>
        <v>8348</v>
      </c>
      <c r="R40" s="72"/>
      <c r="S40" s="70">
        <f>SUM(S36:S39)</f>
        <v>8813</v>
      </c>
      <c r="T40" s="72"/>
      <c r="U40" s="831">
        <f>SUM(U36:U39)</f>
        <v>0</v>
      </c>
      <c r="W40" s="336"/>
      <c r="X40" s="337">
        <f t="shared" si="4"/>
        <v>8374</v>
      </c>
    </row>
    <row r="41" spans="1:27" ht="15" customHeight="1" thickTop="1" thickBot="1" x14ac:dyDescent="0.25">
      <c r="A41" s="43"/>
      <c r="B41" s="59"/>
      <c r="C41" s="61"/>
      <c r="D41" s="59"/>
      <c r="E41" s="62"/>
      <c r="F41" s="59"/>
      <c r="G41" s="62"/>
      <c r="H41" s="59"/>
      <c r="I41" s="62"/>
      <c r="J41" s="59"/>
      <c r="K41" s="62"/>
      <c r="L41" s="59"/>
      <c r="M41" s="62"/>
      <c r="N41" s="59"/>
      <c r="O41" s="62"/>
      <c r="P41" s="59"/>
      <c r="Q41" s="62"/>
      <c r="R41" s="59"/>
      <c r="S41" s="62"/>
      <c r="T41" s="59"/>
      <c r="U41" s="62"/>
      <c r="V41" s="66"/>
      <c r="W41" s="65"/>
      <c r="X41" s="61"/>
    </row>
    <row r="42" spans="1:27" ht="18" customHeight="1" thickTop="1" thickBot="1" x14ac:dyDescent="0.25">
      <c r="A42" s="214" t="s">
        <v>27</v>
      </c>
      <c r="B42" s="955" t="s">
        <v>28</v>
      </c>
      <c r="C42" s="966"/>
      <c r="D42" s="955" t="s">
        <v>29</v>
      </c>
      <c r="E42" s="956"/>
      <c r="F42" s="955" t="s">
        <v>30</v>
      </c>
      <c r="G42" s="956"/>
      <c r="H42" s="955" t="s">
        <v>31</v>
      </c>
      <c r="I42" s="956"/>
      <c r="J42" s="955" t="s">
        <v>32</v>
      </c>
      <c r="K42" s="956"/>
      <c r="L42" s="955" t="s">
        <v>33</v>
      </c>
      <c r="M42" s="956"/>
      <c r="N42" s="955" t="s">
        <v>34</v>
      </c>
      <c r="O42" s="956"/>
      <c r="P42" s="955" t="s">
        <v>35</v>
      </c>
      <c r="Q42" s="956"/>
      <c r="R42" s="955" t="s">
        <v>36</v>
      </c>
      <c r="S42" s="956"/>
      <c r="T42" s="955" t="s">
        <v>187</v>
      </c>
      <c r="U42" s="963"/>
      <c r="V42" s="431"/>
      <c r="W42" s="961" t="s">
        <v>9</v>
      </c>
      <c r="X42" s="962"/>
      <c r="Y42" s="42"/>
      <c r="Z42" s="42"/>
      <c r="AA42" s="43"/>
    </row>
    <row r="43" spans="1:27" ht="15" customHeight="1" x14ac:dyDescent="0.2">
      <c r="A43" s="432" t="s">
        <v>143</v>
      </c>
      <c r="B43" s="215"/>
      <c r="C43" s="216">
        <v>0.153</v>
      </c>
      <c r="D43" s="217"/>
      <c r="E43" s="218">
        <v>0.17899999999999999</v>
      </c>
      <c r="F43" s="219"/>
      <c r="G43" s="218">
        <v>0.19</v>
      </c>
      <c r="H43" s="219"/>
      <c r="I43" s="218">
        <v>0.223</v>
      </c>
      <c r="J43" s="219"/>
      <c r="K43" s="218">
        <v>0.32100000000000001</v>
      </c>
      <c r="L43" s="219"/>
      <c r="M43" s="218">
        <v>0.34699999999999998</v>
      </c>
      <c r="N43" s="219"/>
      <c r="O43" s="218">
        <v>0.40300000000000002</v>
      </c>
      <c r="P43" s="219"/>
      <c r="Q43" s="218">
        <v>0.45</v>
      </c>
      <c r="R43" s="219"/>
      <c r="S43" s="218">
        <v>0.53400000000000003</v>
      </c>
      <c r="T43" s="219"/>
      <c r="U43" s="220">
        <v>0.59199999999999997</v>
      </c>
      <c r="V43" s="428"/>
      <c r="W43" s="221"/>
      <c r="X43" s="222">
        <f>AVERAGE(O43,M43,S43,U43,Q43)</f>
        <v>0.4652</v>
      </c>
      <c r="Y43" s="42"/>
      <c r="Z43" s="42"/>
      <c r="AA43" s="43"/>
    </row>
    <row r="44" spans="1:27" ht="15" customHeight="1" x14ac:dyDescent="0.2">
      <c r="A44" s="433" t="s">
        <v>144</v>
      </c>
      <c r="B44" s="223"/>
      <c r="C44" s="224">
        <v>0.13100000000000001</v>
      </c>
      <c r="D44" s="223"/>
      <c r="E44" s="224">
        <v>0.16600000000000001</v>
      </c>
      <c r="F44" s="225"/>
      <c r="G44" s="224">
        <v>0.11600000000000001</v>
      </c>
      <c r="H44" s="225"/>
      <c r="I44" s="224">
        <v>0.128</v>
      </c>
      <c r="J44" s="225"/>
      <c r="K44" s="224">
        <v>0.13300000000000001</v>
      </c>
      <c r="L44" s="225"/>
      <c r="M44" s="224">
        <v>0.14899999999999999</v>
      </c>
      <c r="N44" s="225"/>
      <c r="O44" s="224">
        <v>0.14799999999999999</v>
      </c>
      <c r="P44" s="225"/>
      <c r="Q44" s="224">
        <v>0.14599999999999999</v>
      </c>
      <c r="R44" s="225"/>
      <c r="S44" s="224">
        <v>0.11700000000000001</v>
      </c>
      <c r="T44" s="225"/>
      <c r="U44" s="226">
        <v>0.109</v>
      </c>
      <c r="V44" s="428"/>
      <c r="W44" s="227"/>
      <c r="X44" s="228">
        <f>AVERAGE(O44,M44,S44,U44,Q44)</f>
        <v>0.1338</v>
      </c>
      <c r="Y44" s="42"/>
      <c r="Z44" s="42"/>
      <c r="AA44" s="43"/>
    </row>
    <row r="45" spans="1:27" ht="15" customHeight="1" thickBot="1" x14ac:dyDescent="0.25">
      <c r="A45" s="229" t="s">
        <v>147</v>
      </c>
      <c r="B45" s="973">
        <f>1-C43-C44</f>
        <v>0.71599999999999997</v>
      </c>
      <c r="C45" s="970"/>
      <c r="D45" s="973">
        <f>1-E43-E44</f>
        <v>0.65499999999999992</v>
      </c>
      <c r="E45" s="970"/>
      <c r="F45" s="973">
        <f>1-G43-G44</f>
        <v>0.69400000000000006</v>
      </c>
      <c r="G45" s="970"/>
      <c r="H45" s="973">
        <f>1-I43-I44</f>
        <v>0.64900000000000002</v>
      </c>
      <c r="I45" s="970"/>
      <c r="J45" s="973">
        <f>1-K43-K44</f>
        <v>0.54600000000000004</v>
      </c>
      <c r="K45" s="970"/>
      <c r="L45" s="973">
        <f>1-M43-M44</f>
        <v>0.504</v>
      </c>
      <c r="M45" s="970"/>
      <c r="N45" s="973">
        <f>1-O43-O44</f>
        <v>0.44899999999999995</v>
      </c>
      <c r="O45" s="970"/>
      <c r="P45" s="973">
        <f>1-Q43-Q44</f>
        <v>0.40400000000000003</v>
      </c>
      <c r="Q45" s="970"/>
      <c r="R45" s="973">
        <f>1-S43-S44</f>
        <v>0.34899999999999998</v>
      </c>
      <c r="S45" s="970"/>
      <c r="T45" s="973">
        <f>1-U43-U44</f>
        <v>0.29900000000000004</v>
      </c>
      <c r="U45" s="972"/>
      <c r="V45" s="428"/>
      <c r="W45" s="971">
        <f>AVERAGE(N45,L45,R45,T45,P45)</f>
        <v>0.40099999999999997</v>
      </c>
      <c r="X45" s="972" t="e">
        <f>AVERAGE(O45,M45,I45,K45,Q45)</f>
        <v>#DIV/0!</v>
      </c>
      <c r="Y45" s="44"/>
      <c r="Z45" s="42"/>
      <c r="AA45" s="43"/>
    </row>
    <row r="46" spans="1:27" s="2" customFormat="1" ht="18" customHeight="1" thickTop="1" thickBot="1" x14ac:dyDescent="0.25">
      <c r="A46" s="181" t="s">
        <v>65</v>
      </c>
      <c r="B46" s="237" t="s">
        <v>37</v>
      </c>
      <c r="C46" s="238" t="s">
        <v>71</v>
      </c>
      <c r="D46" s="237" t="s">
        <v>37</v>
      </c>
      <c r="E46" s="238" t="s">
        <v>71</v>
      </c>
      <c r="F46" s="237" t="s">
        <v>37</v>
      </c>
      <c r="G46" s="238" t="s">
        <v>71</v>
      </c>
      <c r="H46" s="237" t="s">
        <v>37</v>
      </c>
      <c r="I46" s="238" t="s">
        <v>71</v>
      </c>
      <c r="J46" s="237" t="s">
        <v>37</v>
      </c>
      <c r="K46" s="238" t="s">
        <v>71</v>
      </c>
      <c r="L46" s="237" t="s">
        <v>37</v>
      </c>
      <c r="M46" s="238" t="s">
        <v>71</v>
      </c>
      <c r="N46" s="237" t="s">
        <v>37</v>
      </c>
      <c r="O46" s="238" t="s">
        <v>71</v>
      </c>
      <c r="P46" s="237" t="s">
        <v>37</v>
      </c>
      <c r="Q46" s="238" t="s">
        <v>71</v>
      </c>
      <c r="R46" s="237" t="s">
        <v>37</v>
      </c>
      <c r="S46" s="238" t="s">
        <v>71</v>
      </c>
      <c r="T46" s="237" t="s">
        <v>37</v>
      </c>
      <c r="U46" s="239" t="s">
        <v>71</v>
      </c>
      <c r="V46" s="240"/>
      <c r="W46" s="644" t="s">
        <v>37</v>
      </c>
      <c r="X46" s="645" t="s">
        <v>71</v>
      </c>
    </row>
    <row r="47" spans="1:27" ht="15" customHeight="1" x14ac:dyDescent="0.2">
      <c r="A47" s="243" t="s">
        <v>131</v>
      </c>
      <c r="B47" s="244"/>
      <c r="C47" s="245">
        <f>B47/SUM(B17)</f>
        <v>0</v>
      </c>
      <c r="D47" s="244"/>
      <c r="E47" s="245">
        <f>D47/SUM(D17)</f>
        <v>0</v>
      </c>
      <c r="F47" s="791"/>
      <c r="G47" s="871"/>
      <c r="H47" s="244">
        <v>27</v>
      </c>
      <c r="I47" s="245">
        <f>H47/SUM(H17)</f>
        <v>0.49090909090909091</v>
      </c>
      <c r="J47" s="244">
        <v>24</v>
      </c>
      <c r="K47" s="245">
        <f>J47/SUM(J17)</f>
        <v>0.58536585365853655</v>
      </c>
      <c r="L47" s="244">
        <v>19</v>
      </c>
      <c r="M47" s="245">
        <f>L47/SUM(L17)</f>
        <v>0.54285714285714282</v>
      </c>
      <c r="N47" s="244">
        <v>25</v>
      </c>
      <c r="O47" s="245">
        <f>N47/SUM(N17)</f>
        <v>0.6097560975609756</v>
      </c>
      <c r="P47" s="244">
        <v>23</v>
      </c>
      <c r="Q47" s="245">
        <f>P47/SUM(P17)</f>
        <v>0.6216216216216216</v>
      </c>
      <c r="R47" s="244">
        <v>17</v>
      </c>
      <c r="S47" s="245">
        <f>R47/SUM(R17,)</f>
        <v>0.58620689655172409</v>
      </c>
      <c r="T47" s="244"/>
      <c r="U47" s="418">
        <f>T47/SUM(T17,)</f>
        <v>0</v>
      </c>
      <c r="V47" s="411"/>
      <c r="W47" s="604">
        <f>AVERAGE(N47,L47,R47,T47,P47)</f>
        <v>21</v>
      </c>
      <c r="X47" s="605">
        <f t="shared" ref="W47:X49" si="5">AVERAGE(O47,M47,S47,U47,Q47)</f>
        <v>0.47208835171829283</v>
      </c>
    </row>
    <row r="48" spans="1:27" ht="15" customHeight="1" x14ac:dyDescent="0.2">
      <c r="A48" s="186" t="s">
        <v>132</v>
      </c>
      <c r="B48" s="412"/>
      <c r="C48" s="413">
        <f>B48/SUM(B20)</f>
        <v>0</v>
      </c>
      <c r="D48" s="412"/>
      <c r="E48" s="413">
        <f>D48/SUM(D20)</f>
        <v>0</v>
      </c>
      <c r="F48" s="867"/>
      <c r="G48" s="868"/>
      <c r="H48" s="412">
        <v>5</v>
      </c>
      <c r="I48" s="413">
        <f>H48/SUM(H20)</f>
        <v>0.23809523809523808</v>
      </c>
      <c r="J48" s="412">
        <v>2</v>
      </c>
      <c r="K48" s="413">
        <f>J48/SUM(J20)</f>
        <v>0.15384615384615385</v>
      </c>
      <c r="L48" s="412">
        <v>3</v>
      </c>
      <c r="M48" s="413">
        <f>L48/SUM(L20)</f>
        <v>0.21428571428571427</v>
      </c>
      <c r="N48" s="412">
        <v>3</v>
      </c>
      <c r="O48" s="413">
        <f>N48/SUM(N20)</f>
        <v>0.21428571428571427</v>
      </c>
      <c r="P48" s="412">
        <v>1</v>
      </c>
      <c r="Q48" s="413">
        <f>P48/SUM(P20)</f>
        <v>8.3333333333333329E-2</v>
      </c>
      <c r="R48" s="412">
        <v>1</v>
      </c>
      <c r="S48" s="413">
        <f>R48/SUM(R20)</f>
        <v>7.6923076923076927E-2</v>
      </c>
      <c r="T48" s="412"/>
      <c r="U48" s="259">
        <f>T48/SUM(T20)</f>
        <v>0</v>
      </c>
      <c r="V48" s="414"/>
      <c r="W48" s="604">
        <f t="shared" si="5"/>
        <v>2</v>
      </c>
      <c r="X48" s="247">
        <f t="shared" si="5"/>
        <v>0.11776556776556776</v>
      </c>
    </row>
    <row r="49" spans="1:24" ht="15" customHeight="1" thickBot="1" x14ac:dyDescent="0.25">
      <c r="A49" s="248" t="s">
        <v>67</v>
      </c>
      <c r="B49" s="249"/>
      <c r="C49" s="250">
        <f>B49/B18</f>
        <v>0</v>
      </c>
      <c r="D49" s="249"/>
      <c r="E49" s="250">
        <f>D49/D18</f>
        <v>0</v>
      </c>
      <c r="F49" s="792"/>
      <c r="G49" s="872"/>
      <c r="H49" s="249">
        <v>23</v>
      </c>
      <c r="I49" s="250">
        <f>H49/H18</f>
        <v>0.74193548387096775</v>
      </c>
      <c r="J49" s="249">
        <v>25</v>
      </c>
      <c r="K49" s="250">
        <f>J49/J18</f>
        <v>0.73529411764705888</v>
      </c>
      <c r="L49" s="249">
        <v>27</v>
      </c>
      <c r="M49" s="250">
        <f>L49/L18</f>
        <v>0.79411764705882348</v>
      </c>
      <c r="N49" s="249">
        <v>25</v>
      </c>
      <c r="O49" s="250">
        <f>N49/N18</f>
        <v>0.69444444444444442</v>
      </c>
      <c r="P49" s="249">
        <v>23</v>
      </c>
      <c r="Q49" s="250">
        <f>P49/P18</f>
        <v>0.65714285714285714</v>
      </c>
      <c r="R49" s="249">
        <v>27</v>
      </c>
      <c r="S49" s="250">
        <f>R49/R18</f>
        <v>0.77142857142857146</v>
      </c>
      <c r="T49" s="249"/>
      <c r="U49" s="251">
        <f>T49/T18</f>
        <v>0</v>
      </c>
      <c r="V49" s="231"/>
      <c r="W49" s="252">
        <f t="shared" si="5"/>
        <v>25.5</v>
      </c>
      <c r="X49" s="253">
        <f t="shared" si="5"/>
        <v>0.58342670401493923</v>
      </c>
    </row>
    <row r="50" spans="1:24" ht="15" customHeight="1" thickTop="1" x14ac:dyDescent="0.2">
      <c r="A50" s="27" t="s">
        <v>175</v>
      </c>
      <c r="B50" s="28"/>
      <c r="C50" s="29"/>
      <c r="D50" s="28"/>
      <c r="E50" s="29"/>
      <c r="F50" s="28"/>
      <c r="G50" s="29"/>
      <c r="H50" s="28"/>
      <c r="I50" s="29"/>
      <c r="J50" s="28"/>
      <c r="K50" s="29"/>
      <c r="L50" s="28"/>
      <c r="M50" s="29"/>
      <c r="N50" s="28"/>
      <c r="O50" s="29"/>
      <c r="P50" s="28"/>
      <c r="Q50" s="29"/>
      <c r="R50" s="28"/>
      <c r="S50" s="29"/>
      <c r="T50" s="28"/>
      <c r="U50" s="29"/>
      <c r="V50" s="66"/>
      <c r="W50" s="30"/>
      <c r="X50" s="31"/>
    </row>
    <row r="51" spans="1:24" s="1" customFormat="1" ht="15" customHeight="1" thickBot="1" x14ac:dyDescent="0.25">
      <c r="A51" s="310"/>
      <c r="B51" s="311"/>
      <c r="C51" s="429"/>
      <c r="D51" s="311"/>
      <c r="E51" s="429"/>
      <c r="F51" s="311"/>
      <c r="G51" s="429"/>
      <c r="H51" s="311"/>
      <c r="I51" s="429"/>
      <c r="J51" s="311"/>
      <c r="K51" s="429"/>
      <c r="L51" s="311"/>
      <c r="M51" s="429"/>
      <c r="N51" s="311"/>
      <c r="O51" s="429"/>
      <c r="P51" s="311"/>
      <c r="Q51" s="429"/>
      <c r="R51" s="311"/>
      <c r="S51" s="429"/>
      <c r="T51" s="311"/>
      <c r="U51" s="429"/>
      <c r="V51" s="182"/>
      <c r="W51" s="182"/>
      <c r="X51" s="430"/>
    </row>
    <row r="52" spans="1:24" s="1" customFormat="1" ht="18.75" customHeight="1" thickTop="1" thickBot="1" x14ac:dyDescent="0.25">
      <c r="A52" s="214" t="s">
        <v>161</v>
      </c>
      <c r="B52" s="955" t="s">
        <v>28</v>
      </c>
      <c r="C52" s="966"/>
      <c r="D52" s="955" t="s">
        <v>29</v>
      </c>
      <c r="E52" s="956"/>
      <c r="F52" s="955" t="s">
        <v>30</v>
      </c>
      <c r="G52" s="956"/>
      <c r="H52" s="955" t="s">
        <v>31</v>
      </c>
      <c r="I52" s="956"/>
      <c r="J52" s="955" t="s">
        <v>32</v>
      </c>
      <c r="K52" s="956"/>
      <c r="L52" s="955" t="s">
        <v>33</v>
      </c>
      <c r="M52" s="956"/>
      <c r="N52" s="955" t="s">
        <v>34</v>
      </c>
      <c r="O52" s="956"/>
      <c r="P52" s="955" t="s">
        <v>35</v>
      </c>
      <c r="Q52" s="956"/>
      <c r="R52" s="955" t="s">
        <v>36</v>
      </c>
      <c r="S52" s="956"/>
      <c r="T52" s="955" t="s">
        <v>187</v>
      </c>
      <c r="U52" s="963"/>
      <c r="V52" s="182"/>
      <c r="W52" s="961" t="s">
        <v>9</v>
      </c>
      <c r="X52" s="962"/>
    </row>
    <row r="53" spans="1:24" s="1" customFormat="1" ht="24" x14ac:dyDescent="0.2">
      <c r="A53" s="504" t="s">
        <v>167</v>
      </c>
      <c r="B53" s="505"/>
      <c r="C53" s="506"/>
      <c r="D53" s="505"/>
      <c r="E53" s="507"/>
      <c r="F53" s="505"/>
      <c r="G53" s="507"/>
      <c r="H53" s="505"/>
      <c r="I53" s="507"/>
      <c r="J53" s="505"/>
      <c r="K53" s="507"/>
      <c r="L53" s="505"/>
      <c r="M53" s="507"/>
      <c r="N53" s="505"/>
      <c r="O53" s="507"/>
      <c r="P53" s="505"/>
      <c r="Q53" s="507"/>
      <c r="R53" s="505"/>
      <c r="S53" s="507"/>
      <c r="T53" s="505"/>
      <c r="U53" s="508"/>
      <c r="V53" s="509"/>
      <c r="W53" s="812"/>
      <c r="X53" s="813"/>
    </row>
    <row r="54" spans="1:24" s="1" customFormat="1" ht="24" x14ac:dyDescent="0.2">
      <c r="A54" s="534" t="s">
        <v>140</v>
      </c>
      <c r="B54" s="225"/>
      <c r="C54" s="421">
        <v>16</v>
      </c>
      <c r="D54" s="225"/>
      <c r="E54" s="421">
        <v>16</v>
      </c>
      <c r="F54" s="225"/>
      <c r="G54" s="421">
        <v>15</v>
      </c>
      <c r="H54" s="225"/>
      <c r="I54" s="421">
        <v>15</v>
      </c>
      <c r="J54" s="225"/>
      <c r="K54" s="421">
        <v>13</v>
      </c>
      <c r="L54" s="225"/>
      <c r="M54" s="421">
        <v>13</v>
      </c>
      <c r="N54" s="225"/>
      <c r="O54" s="421">
        <v>13</v>
      </c>
      <c r="P54" s="225"/>
      <c r="Q54" s="421">
        <v>12</v>
      </c>
      <c r="R54" s="225"/>
      <c r="S54" s="421">
        <v>11</v>
      </c>
      <c r="T54" s="422"/>
      <c r="U54" s="297"/>
      <c r="V54" s="182"/>
      <c r="W54" s="573"/>
      <c r="X54" s="297">
        <f>AVERAGE(O54,M54,S54,U54,Q54)</f>
        <v>12.25</v>
      </c>
    </row>
    <row r="55" spans="1:24" s="1" customFormat="1" ht="24" x14ac:dyDescent="0.2">
      <c r="A55" s="534" t="s">
        <v>142</v>
      </c>
      <c r="B55" s="422"/>
      <c r="C55" s="515">
        <v>16</v>
      </c>
      <c r="D55" s="422"/>
      <c r="E55" s="515">
        <v>16</v>
      </c>
      <c r="F55" s="422"/>
      <c r="G55" s="515">
        <v>15</v>
      </c>
      <c r="H55" s="422"/>
      <c r="I55" s="515">
        <v>15</v>
      </c>
      <c r="J55" s="422"/>
      <c r="K55" s="515">
        <v>13</v>
      </c>
      <c r="L55" s="422"/>
      <c r="M55" s="515">
        <v>13</v>
      </c>
      <c r="N55" s="422"/>
      <c r="O55" s="515">
        <v>13</v>
      </c>
      <c r="P55" s="422"/>
      <c r="Q55" s="515">
        <v>12</v>
      </c>
      <c r="R55" s="422"/>
      <c r="S55" s="515">
        <v>11</v>
      </c>
      <c r="T55" s="422"/>
      <c r="U55" s="297"/>
      <c r="V55" s="182"/>
      <c r="W55" s="574"/>
      <c r="X55" s="575">
        <f>AVERAGE(O55,M55,S55,U55,Q55)</f>
        <v>12.25</v>
      </c>
    </row>
    <row r="56" spans="1:24" s="1" customFormat="1" ht="15" customHeight="1" thickBot="1" x14ac:dyDescent="0.25">
      <c r="A56" s="581" t="s">
        <v>141</v>
      </c>
      <c r="B56" s="582"/>
      <c r="C56" s="583">
        <v>16</v>
      </c>
      <c r="D56" s="582"/>
      <c r="E56" s="583">
        <v>16</v>
      </c>
      <c r="F56" s="582"/>
      <c r="G56" s="583">
        <v>15</v>
      </c>
      <c r="H56" s="582"/>
      <c r="I56" s="583">
        <v>15</v>
      </c>
      <c r="J56" s="582"/>
      <c r="K56" s="583">
        <f>10.35+0.9</f>
        <v>11.25</v>
      </c>
      <c r="L56" s="582"/>
      <c r="M56" s="583">
        <v>11.55</v>
      </c>
      <c r="N56" s="582"/>
      <c r="O56" s="583">
        <v>11.55</v>
      </c>
      <c r="P56" s="582"/>
      <c r="Q56" s="583">
        <v>11.3</v>
      </c>
      <c r="R56" s="582"/>
      <c r="S56" s="583">
        <f>9.15+1.15</f>
        <v>10.3</v>
      </c>
      <c r="T56" s="584"/>
      <c r="U56" s="423"/>
      <c r="V56" s="182"/>
      <c r="W56" s="814"/>
      <c r="X56" s="815">
        <f>AVERAGE(O56,M56,S56,U56,Q56)</f>
        <v>11.175000000000001</v>
      </c>
    </row>
    <row r="57" spans="1:24" s="1" customFormat="1" ht="18" customHeight="1" thickBot="1" x14ac:dyDescent="0.25">
      <c r="A57" s="488" t="s">
        <v>172</v>
      </c>
      <c r="B57" s="587" t="s">
        <v>38</v>
      </c>
      <c r="C57" s="588" t="s">
        <v>39</v>
      </c>
      <c r="D57" s="622" t="s">
        <v>38</v>
      </c>
      <c r="E57" s="623" t="s">
        <v>39</v>
      </c>
      <c r="F57" s="622" t="s">
        <v>38</v>
      </c>
      <c r="G57" s="623" t="s">
        <v>39</v>
      </c>
      <c r="H57" s="622" t="s">
        <v>38</v>
      </c>
      <c r="I57" s="623" t="s">
        <v>39</v>
      </c>
      <c r="J57" s="622" t="s">
        <v>38</v>
      </c>
      <c r="K57" s="623" t="s">
        <v>39</v>
      </c>
      <c r="L57" s="622" t="s">
        <v>38</v>
      </c>
      <c r="M57" s="623" t="s">
        <v>39</v>
      </c>
      <c r="N57" s="622" t="s">
        <v>38</v>
      </c>
      <c r="O57" s="623" t="s">
        <v>39</v>
      </c>
      <c r="P57" s="622" t="s">
        <v>38</v>
      </c>
      <c r="Q57" s="623" t="s">
        <v>39</v>
      </c>
      <c r="R57" s="622" t="s">
        <v>38</v>
      </c>
      <c r="S57" s="623" t="s">
        <v>39</v>
      </c>
      <c r="T57" s="622" t="s">
        <v>38</v>
      </c>
      <c r="U57" s="624" t="s">
        <v>39</v>
      </c>
      <c r="W57" s="590" t="s">
        <v>38</v>
      </c>
      <c r="X57" s="483" t="s">
        <v>188</v>
      </c>
    </row>
    <row r="58" spans="1:24" s="1" customFormat="1" ht="15" customHeight="1" x14ac:dyDescent="0.2">
      <c r="A58" s="489" t="s">
        <v>40</v>
      </c>
      <c r="B58" s="363"/>
      <c r="C58" s="168"/>
      <c r="D58" s="141"/>
      <c r="E58" s="585"/>
      <c r="F58" s="142"/>
      <c r="G58" s="585"/>
      <c r="H58" s="142"/>
      <c r="I58" s="585"/>
      <c r="J58" s="142"/>
      <c r="K58" s="585"/>
      <c r="L58" s="142"/>
      <c r="M58" s="585"/>
      <c r="N58" s="142"/>
      <c r="O58" s="585"/>
      <c r="P58" s="142"/>
      <c r="Q58" s="585"/>
      <c r="R58" s="142"/>
      <c r="S58" s="585"/>
      <c r="T58" s="142"/>
      <c r="U58" s="586"/>
      <c r="W58" s="566"/>
      <c r="X58" s="806"/>
    </row>
    <row r="59" spans="1:24" s="1" customFormat="1" ht="15" customHeight="1" x14ac:dyDescent="0.2">
      <c r="A59" s="464" t="s">
        <v>41</v>
      </c>
      <c r="B59" s="426"/>
      <c r="C59" s="34">
        <v>17</v>
      </c>
      <c r="D59" s="128"/>
      <c r="E59" s="147">
        <v>17</v>
      </c>
      <c r="F59" s="128"/>
      <c r="G59" s="147">
        <v>16</v>
      </c>
      <c r="H59" s="128"/>
      <c r="I59" s="147">
        <v>16</v>
      </c>
      <c r="J59" s="572">
        <v>16</v>
      </c>
      <c r="K59" s="147">
        <v>16</v>
      </c>
      <c r="L59" s="572">
        <v>15</v>
      </c>
      <c r="M59" s="147">
        <v>15</v>
      </c>
      <c r="N59" s="572">
        <v>15</v>
      </c>
      <c r="O59" s="147">
        <v>15</v>
      </c>
      <c r="P59" s="572">
        <v>15</v>
      </c>
      <c r="Q59" s="147">
        <v>15</v>
      </c>
      <c r="R59" s="572">
        <v>14</v>
      </c>
      <c r="S59" s="147">
        <v>14</v>
      </c>
      <c r="T59" s="572"/>
      <c r="U59" s="458"/>
      <c r="W59" s="807">
        <f>AVERAGE(N59,L59,R59,T59,P59)</f>
        <v>14.75</v>
      </c>
      <c r="X59" s="808">
        <f>AVERAGE(O59,M59,S59,U59,Q59)</f>
        <v>14.75</v>
      </c>
    </row>
    <row r="60" spans="1:24" s="1" customFormat="1" ht="15" customHeight="1" x14ac:dyDescent="0.2">
      <c r="A60" s="464" t="s">
        <v>42</v>
      </c>
      <c r="B60" s="426"/>
      <c r="C60" s="34">
        <v>2</v>
      </c>
      <c r="D60" s="128"/>
      <c r="E60" s="147">
        <v>2</v>
      </c>
      <c r="F60" s="128"/>
      <c r="G60" s="147">
        <v>3</v>
      </c>
      <c r="H60" s="128"/>
      <c r="I60" s="147">
        <v>1</v>
      </c>
      <c r="J60" s="13">
        <v>0.95</v>
      </c>
      <c r="K60" s="147">
        <v>2</v>
      </c>
      <c r="L60" s="13">
        <v>0.75</v>
      </c>
      <c r="M60" s="147">
        <v>2</v>
      </c>
      <c r="N60" s="13">
        <v>0.5</v>
      </c>
      <c r="O60" s="147">
        <v>1</v>
      </c>
      <c r="P60" s="13">
        <v>0.7</v>
      </c>
      <c r="Q60" s="147">
        <v>1</v>
      </c>
      <c r="R60" s="13">
        <v>0.7</v>
      </c>
      <c r="S60" s="147">
        <v>1</v>
      </c>
      <c r="T60" s="13"/>
      <c r="U60" s="458"/>
      <c r="W60" s="807">
        <f t="shared" ref="W60:X63" si="6">AVERAGE(N60,L60,R60,T60,P60)</f>
        <v>0.66249999999999998</v>
      </c>
      <c r="X60" s="808">
        <f t="shared" si="6"/>
        <v>1.25</v>
      </c>
    </row>
    <row r="61" spans="1:24" s="1" customFormat="1" ht="15" customHeight="1" x14ac:dyDescent="0.2">
      <c r="A61" s="466" t="s">
        <v>43</v>
      </c>
      <c r="B61" s="33"/>
      <c r="C61" s="39"/>
      <c r="D61" s="13"/>
      <c r="E61" s="455"/>
      <c r="F61" s="13"/>
      <c r="G61" s="455"/>
      <c r="H61" s="13"/>
      <c r="I61" s="455"/>
      <c r="J61" s="13"/>
      <c r="K61" s="455"/>
      <c r="L61" s="13"/>
      <c r="M61" s="455"/>
      <c r="N61" s="13"/>
      <c r="O61" s="455"/>
      <c r="P61" s="13"/>
      <c r="Q61" s="455"/>
      <c r="R61" s="13"/>
      <c r="S61" s="455"/>
      <c r="T61" s="13"/>
      <c r="U61" s="459"/>
      <c r="W61" s="807"/>
      <c r="X61" s="808"/>
    </row>
    <row r="62" spans="1:24" s="1" customFormat="1" ht="15" customHeight="1" x14ac:dyDescent="0.2">
      <c r="A62" s="464" t="s">
        <v>41</v>
      </c>
      <c r="B62" s="426"/>
      <c r="C62" s="39">
        <v>0</v>
      </c>
      <c r="D62" s="128"/>
      <c r="E62" s="455">
        <v>0</v>
      </c>
      <c r="F62" s="128"/>
      <c r="G62" s="455">
        <v>0</v>
      </c>
      <c r="H62" s="128"/>
      <c r="I62" s="455">
        <v>0</v>
      </c>
      <c r="J62" s="572">
        <v>3</v>
      </c>
      <c r="K62" s="455">
        <v>3</v>
      </c>
      <c r="L62" s="572">
        <v>3</v>
      </c>
      <c r="M62" s="455">
        <v>3</v>
      </c>
      <c r="N62" s="572">
        <v>4</v>
      </c>
      <c r="O62" s="455">
        <v>4</v>
      </c>
      <c r="P62" s="572">
        <v>5</v>
      </c>
      <c r="Q62" s="455">
        <v>5</v>
      </c>
      <c r="R62" s="572">
        <v>3</v>
      </c>
      <c r="S62" s="455">
        <v>3</v>
      </c>
      <c r="T62" s="572"/>
      <c r="U62" s="459"/>
      <c r="W62" s="807">
        <f t="shared" si="6"/>
        <v>3.75</v>
      </c>
      <c r="X62" s="808">
        <f t="shared" si="6"/>
        <v>3.75</v>
      </c>
    </row>
    <row r="63" spans="1:24" s="1" customFormat="1" ht="15" customHeight="1" thickBot="1" x14ac:dyDescent="0.25">
      <c r="A63" s="465" t="s">
        <v>42</v>
      </c>
      <c r="B63" s="467"/>
      <c r="C63" s="651">
        <v>2</v>
      </c>
      <c r="D63" s="469"/>
      <c r="E63" s="470">
        <v>1</v>
      </c>
      <c r="F63" s="469"/>
      <c r="G63" s="470">
        <v>1</v>
      </c>
      <c r="H63" s="469"/>
      <c r="I63" s="470">
        <v>0</v>
      </c>
      <c r="J63" s="591">
        <v>0</v>
      </c>
      <c r="K63" s="470">
        <v>0</v>
      </c>
      <c r="L63" s="591">
        <v>0</v>
      </c>
      <c r="M63" s="470">
        <v>0</v>
      </c>
      <c r="N63" s="591">
        <v>0</v>
      </c>
      <c r="O63" s="470">
        <v>0</v>
      </c>
      <c r="P63" s="591">
        <v>0</v>
      </c>
      <c r="Q63" s="470">
        <v>0</v>
      </c>
      <c r="R63" s="591">
        <v>0</v>
      </c>
      <c r="S63" s="470">
        <v>0</v>
      </c>
      <c r="T63" s="591"/>
      <c r="U63" s="472"/>
      <c r="W63" s="807">
        <f t="shared" si="6"/>
        <v>0</v>
      </c>
      <c r="X63" s="808">
        <f t="shared" si="6"/>
        <v>0</v>
      </c>
    </row>
    <row r="64" spans="1:24" s="1" customFormat="1" ht="15" customHeight="1" thickBot="1" x14ac:dyDescent="0.25">
      <c r="A64" s="473" t="s">
        <v>26</v>
      </c>
      <c r="B64" s="595"/>
      <c r="C64" s="596">
        <f>SUM(C59:C63)</f>
        <v>21</v>
      </c>
      <c r="D64" s="475"/>
      <c r="E64" s="478">
        <f>SUM(E59:E63)</f>
        <v>20</v>
      </c>
      <c r="F64" s="597"/>
      <c r="G64" s="478">
        <f>SUM(G59:G63)</f>
        <v>20</v>
      </c>
      <c r="H64" s="597"/>
      <c r="I64" s="478">
        <f>SUM(I59:I63)</f>
        <v>17</v>
      </c>
      <c r="J64" s="598">
        <f t="shared" ref="J64:S64" si="7">SUM(J59:J63)</f>
        <v>19.95</v>
      </c>
      <c r="K64" s="478">
        <f t="shared" si="7"/>
        <v>21</v>
      </c>
      <c r="L64" s="598">
        <f t="shared" si="7"/>
        <v>18.75</v>
      </c>
      <c r="M64" s="478">
        <f t="shared" si="7"/>
        <v>20</v>
      </c>
      <c r="N64" s="598">
        <f t="shared" si="7"/>
        <v>19.5</v>
      </c>
      <c r="O64" s="478">
        <f t="shared" si="7"/>
        <v>20</v>
      </c>
      <c r="P64" s="598">
        <f t="shared" si="7"/>
        <v>20.7</v>
      </c>
      <c r="Q64" s="478">
        <f t="shared" si="7"/>
        <v>21</v>
      </c>
      <c r="R64" s="598">
        <f t="shared" si="7"/>
        <v>17.7</v>
      </c>
      <c r="S64" s="478">
        <f t="shared" si="7"/>
        <v>18</v>
      </c>
      <c r="T64" s="598">
        <f t="shared" ref="T64:U64" si="8">SUM(T59:T63)</f>
        <v>0</v>
      </c>
      <c r="U64" s="479">
        <f t="shared" si="8"/>
        <v>0</v>
      </c>
      <c r="W64" s="809">
        <f>AVERAGE(N64,L64,R64,T64,P64)</f>
        <v>15.330000000000002</v>
      </c>
      <c r="X64" s="810">
        <f>AVERAGE(O64,M64,S64,U64,Q64)</f>
        <v>15.8</v>
      </c>
    </row>
    <row r="65" spans="1:24" s="1" customFormat="1" ht="18" customHeight="1" thickBot="1" x14ac:dyDescent="0.25">
      <c r="A65" s="532" t="s">
        <v>171</v>
      </c>
      <c r="B65" s="539" t="s">
        <v>37</v>
      </c>
      <c r="C65" s="540" t="s">
        <v>44</v>
      </c>
      <c r="D65" s="539" t="s">
        <v>37</v>
      </c>
      <c r="E65" s="541" t="s">
        <v>44</v>
      </c>
      <c r="F65" s="542" t="s">
        <v>37</v>
      </c>
      <c r="G65" s="541" t="s">
        <v>44</v>
      </c>
      <c r="H65" s="542" t="s">
        <v>37</v>
      </c>
      <c r="I65" s="541" t="s">
        <v>44</v>
      </c>
      <c r="J65" s="542" t="s">
        <v>37</v>
      </c>
      <c r="K65" s="541" t="s">
        <v>44</v>
      </c>
      <c r="L65" s="542" t="s">
        <v>37</v>
      </c>
      <c r="M65" s="541" t="s">
        <v>44</v>
      </c>
      <c r="N65" s="542" t="s">
        <v>37</v>
      </c>
      <c r="O65" s="541" t="s">
        <v>44</v>
      </c>
      <c r="P65" s="542" t="s">
        <v>37</v>
      </c>
      <c r="Q65" s="541" t="s">
        <v>44</v>
      </c>
      <c r="R65" s="542" t="s">
        <v>37</v>
      </c>
      <c r="S65" s="541" t="s">
        <v>44</v>
      </c>
      <c r="T65" s="542" t="s">
        <v>37</v>
      </c>
      <c r="U65" s="543" t="s">
        <v>44</v>
      </c>
      <c r="V65" s="182"/>
      <c r="W65" s="482" t="s">
        <v>37</v>
      </c>
      <c r="X65" s="543" t="s">
        <v>44</v>
      </c>
    </row>
    <row r="66" spans="1:24" s="1" customFormat="1" ht="18" customHeight="1" x14ac:dyDescent="0.2">
      <c r="A66" s="530" t="s">
        <v>164</v>
      </c>
      <c r="B66" s="528"/>
      <c r="C66" s="183"/>
      <c r="D66" s="529"/>
      <c r="E66" s="184"/>
      <c r="F66" s="529"/>
      <c r="G66" s="184"/>
      <c r="H66" s="529"/>
      <c r="I66" s="184"/>
      <c r="J66" s="529"/>
      <c r="K66" s="184"/>
      <c r="L66" s="529"/>
      <c r="M66" s="184"/>
      <c r="N66" s="529"/>
      <c r="O66" s="184"/>
      <c r="P66" s="529"/>
      <c r="Q66" s="184"/>
      <c r="R66" s="529"/>
      <c r="S66" s="184"/>
      <c r="T66" s="529"/>
      <c r="U66" s="185"/>
      <c r="V66" s="182"/>
      <c r="W66" s="480"/>
      <c r="X66" s="602"/>
    </row>
    <row r="67" spans="1:24" s="1" customFormat="1" ht="15" customHeight="1" x14ac:dyDescent="0.2">
      <c r="A67" s="186" t="s">
        <v>45</v>
      </c>
      <c r="B67" s="187">
        <v>14</v>
      </c>
      <c r="C67" s="188">
        <f t="shared" ref="C67:C74" si="9">B67/C$64</f>
        <v>0.66666666666666663</v>
      </c>
      <c r="D67" s="190">
        <v>17</v>
      </c>
      <c r="E67" s="189">
        <f t="shared" ref="E67:K74" si="10">D67/E$64</f>
        <v>0.85</v>
      </c>
      <c r="F67" s="190">
        <v>14</v>
      </c>
      <c r="G67" s="189">
        <f t="shared" si="10"/>
        <v>0.7</v>
      </c>
      <c r="H67" s="190">
        <v>12</v>
      </c>
      <c r="I67" s="189">
        <f t="shared" ref="I67:I74" si="11">H67/I$64</f>
        <v>0.70588235294117652</v>
      </c>
      <c r="J67" s="190">
        <f>12+2</f>
        <v>14</v>
      </c>
      <c r="K67" s="189">
        <f t="shared" si="10"/>
        <v>0.66666666666666663</v>
      </c>
      <c r="L67" s="190">
        <v>14</v>
      </c>
      <c r="M67" s="189">
        <f t="shared" ref="M67:M72" si="12">L67/M$64</f>
        <v>0.7</v>
      </c>
      <c r="N67" s="190">
        <v>14</v>
      </c>
      <c r="O67" s="189">
        <f t="shared" ref="O67:Q72" si="13">N67/O$64</f>
        <v>0.7</v>
      </c>
      <c r="P67" s="190">
        <v>13</v>
      </c>
      <c r="Q67" s="189">
        <f t="shared" si="13"/>
        <v>0.61904761904761907</v>
      </c>
      <c r="R67" s="190">
        <v>11</v>
      </c>
      <c r="S67" s="189">
        <f t="shared" ref="S67:S72" si="14">R67/S$64</f>
        <v>0.61111111111111116</v>
      </c>
      <c r="T67" s="190"/>
      <c r="U67" s="191" t="e">
        <f t="shared" ref="U67:U72" si="15">T67/U$64</f>
        <v>#DIV/0!</v>
      </c>
      <c r="V67" s="192"/>
      <c r="W67" s="807">
        <f t="shared" ref="W67:W86" si="16">AVERAGE(N67,L67,R67,T67,P67)</f>
        <v>13</v>
      </c>
      <c r="X67" s="193" t="e">
        <f>AVERAGE(O67,M67,U67,S67,Q67)</f>
        <v>#DIV/0!</v>
      </c>
    </row>
    <row r="68" spans="1:24" s="1" customFormat="1" ht="15" customHeight="1" x14ac:dyDescent="0.2">
      <c r="A68" s="194" t="s">
        <v>46</v>
      </c>
      <c r="B68" s="187">
        <v>0</v>
      </c>
      <c r="C68" s="188">
        <f t="shared" si="9"/>
        <v>0</v>
      </c>
      <c r="D68" s="190">
        <v>0</v>
      </c>
      <c r="E68" s="189">
        <f t="shared" si="10"/>
        <v>0</v>
      </c>
      <c r="F68" s="190">
        <v>0</v>
      </c>
      <c r="G68" s="189">
        <f t="shared" si="10"/>
        <v>0</v>
      </c>
      <c r="H68" s="190">
        <v>0</v>
      </c>
      <c r="I68" s="189">
        <f t="shared" si="11"/>
        <v>0</v>
      </c>
      <c r="J68" s="190">
        <f>0</f>
        <v>0</v>
      </c>
      <c r="K68" s="189">
        <f t="shared" si="10"/>
        <v>0</v>
      </c>
      <c r="L68" s="190">
        <v>0</v>
      </c>
      <c r="M68" s="189">
        <f t="shared" si="12"/>
        <v>0</v>
      </c>
      <c r="N68" s="190">
        <v>0</v>
      </c>
      <c r="O68" s="189">
        <f t="shared" si="13"/>
        <v>0</v>
      </c>
      <c r="P68" s="190">
        <v>0</v>
      </c>
      <c r="Q68" s="189">
        <f t="shared" si="13"/>
        <v>0</v>
      </c>
      <c r="R68" s="190">
        <v>0</v>
      </c>
      <c r="S68" s="189">
        <f t="shared" si="14"/>
        <v>0</v>
      </c>
      <c r="T68" s="190"/>
      <c r="U68" s="191" t="e">
        <f t="shared" si="15"/>
        <v>#DIV/0!</v>
      </c>
      <c r="V68" s="192"/>
      <c r="W68" s="807">
        <f t="shared" si="16"/>
        <v>0</v>
      </c>
      <c r="X68" s="193" t="e">
        <f t="shared" ref="X68:X86" si="17">AVERAGE(O68,M68,U68,S68,Q68)</f>
        <v>#DIV/0!</v>
      </c>
    </row>
    <row r="69" spans="1:24" s="1" customFormat="1" ht="15" customHeight="1" x14ac:dyDescent="0.2">
      <c r="A69" s="194" t="s">
        <v>47</v>
      </c>
      <c r="B69" s="187">
        <v>0</v>
      </c>
      <c r="C69" s="188">
        <f t="shared" si="9"/>
        <v>0</v>
      </c>
      <c r="D69" s="190">
        <v>0</v>
      </c>
      <c r="E69" s="189">
        <f t="shared" si="10"/>
        <v>0</v>
      </c>
      <c r="F69" s="190">
        <v>0</v>
      </c>
      <c r="G69" s="189">
        <f t="shared" si="10"/>
        <v>0</v>
      </c>
      <c r="H69" s="190">
        <v>0</v>
      </c>
      <c r="I69" s="189">
        <f t="shared" si="11"/>
        <v>0</v>
      </c>
      <c r="J69" s="190">
        <f>0</f>
        <v>0</v>
      </c>
      <c r="K69" s="189">
        <f t="shared" si="10"/>
        <v>0</v>
      </c>
      <c r="L69" s="190">
        <v>0</v>
      </c>
      <c r="M69" s="189">
        <f t="shared" si="12"/>
        <v>0</v>
      </c>
      <c r="N69" s="190">
        <v>0</v>
      </c>
      <c r="O69" s="189">
        <f t="shared" si="13"/>
        <v>0</v>
      </c>
      <c r="P69" s="190">
        <v>0</v>
      </c>
      <c r="Q69" s="189">
        <f t="shared" si="13"/>
        <v>0</v>
      </c>
      <c r="R69" s="190">
        <v>0</v>
      </c>
      <c r="S69" s="189">
        <f t="shared" si="14"/>
        <v>0</v>
      </c>
      <c r="T69" s="190"/>
      <c r="U69" s="191" t="e">
        <f t="shared" si="15"/>
        <v>#DIV/0!</v>
      </c>
      <c r="V69" s="192"/>
      <c r="W69" s="807">
        <f t="shared" si="16"/>
        <v>0</v>
      </c>
      <c r="X69" s="193" t="e">
        <f t="shared" si="17"/>
        <v>#DIV/0!</v>
      </c>
    </row>
    <row r="70" spans="1:24" s="1" customFormat="1" ht="15" customHeight="1" x14ac:dyDescent="0.2">
      <c r="A70" s="194" t="s">
        <v>48</v>
      </c>
      <c r="B70" s="187">
        <v>0</v>
      </c>
      <c r="C70" s="188">
        <f t="shared" si="9"/>
        <v>0</v>
      </c>
      <c r="D70" s="190">
        <v>0</v>
      </c>
      <c r="E70" s="189">
        <f t="shared" si="10"/>
        <v>0</v>
      </c>
      <c r="F70" s="190">
        <v>0</v>
      </c>
      <c r="G70" s="189">
        <f t="shared" si="10"/>
        <v>0</v>
      </c>
      <c r="H70" s="190">
        <v>0</v>
      </c>
      <c r="I70" s="189">
        <f t="shared" si="11"/>
        <v>0</v>
      </c>
      <c r="J70" s="190">
        <f>0</f>
        <v>0</v>
      </c>
      <c r="K70" s="189">
        <f t="shared" si="10"/>
        <v>0</v>
      </c>
      <c r="L70" s="190">
        <v>0</v>
      </c>
      <c r="M70" s="189">
        <f t="shared" si="12"/>
        <v>0</v>
      </c>
      <c r="N70" s="190">
        <v>0</v>
      </c>
      <c r="O70" s="189">
        <f t="shared" si="13"/>
        <v>0</v>
      </c>
      <c r="P70" s="190">
        <v>0</v>
      </c>
      <c r="Q70" s="189">
        <f t="shared" si="13"/>
        <v>0</v>
      </c>
      <c r="R70" s="190">
        <v>0</v>
      </c>
      <c r="S70" s="189">
        <f t="shared" si="14"/>
        <v>0</v>
      </c>
      <c r="T70" s="190"/>
      <c r="U70" s="191" t="e">
        <f t="shared" si="15"/>
        <v>#DIV/0!</v>
      </c>
      <c r="V70" s="192"/>
      <c r="W70" s="807">
        <f t="shared" si="16"/>
        <v>0</v>
      </c>
      <c r="X70" s="193" t="e">
        <f t="shared" si="17"/>
        <v>#DIV/0!</v>
      </c>
    </row>
    <row r="71" spans="1:24" s="1" customFormat="1" ht="15" customHeight="1" x14ac:dyDescent="0.2">
      <c r="A71" s="194" t="s">
        <v>49</v>
      </c>
      <c r="B71" s="187">
        <v>5</v>
      </c>
      <c r="C71" s="188">
        <f t="shared" si="9"/>
        <v>0.23809523809523808</v>
      </c>
      <c r="D71" s="190">
        <v>1</v>
      </c>
      <c r="E71" s="189">
        <f t="shared" si="10"/>
        <v>0.05</v>
      </c>
      <c r="F71" s="190">
        <v>5</v>
      </c>
      <c r="G71" s="189">
        <f t="shared" si="10"/>
        <v>0.25</v>
      </c>
      <c r="H71" s="190">
        <v>4</v>
      </c>
      <c r="I71" s="189">
        <f t="shared" si="11"/>
        <v>0.23529411764705882</v>
      </c>
      <c r="J71" s="190">
        <f>4</f>
        <v>4</v>
      </c>
      <c r="K71" s="189">
        <f t="shared" si="10"/>
        <v>0.19047619047619047</v>
      </c>
      <c r="L71" s="190">
        <v>5</v>
      </c>
      <c r="M71" s="189">
        <f t="shared" si="12"/>
        <v>0.25</v>
      </c>
      <c r="N71" s="190">
        <v>5</v>
      </c>
      <c r="O71" s="189">
        <f t="shared" si="13"/>
        <v>0.25</v>
      </c>
      <c r="P71" s="190">
        <v>5</v>
      </c>
      <c r="Q71" s="189">
        <f t="shared" si="13"/>
        <v>0.23809523809523808</v>
      </c>
      <c r="R71" s="190">
        <v>4</v>
      </c>
      <c r="S71" s="189">
        <f t="shared" si="14"/>
        <v>0.22222222222222221</v>
      </c>
      <c r="T71" s="190"/>
      <c r="U71" s="191" t="e">
        <f t="shared" si="15"/>
        <v>#DIV/0!</v>
      </c>
      <c r="V71" s="192"/>
      <c r="W71" s="807">
        <f t="shared" si="16"/>
        <v>4.75</v>
      </c>
      <c r="X71" s="193" t="e">
        <f t="shared" si="17"/>
        <v>#DIV/0!</v>
      </c>
    </row>
    <row r="72" spans="1:24" s="1" customFormat="1" ht="15" customHeight="1" x14ac:dyDescent="0.2">
      <c r="A72" s="194" t="s">
        <v>50</v>
      </c>
      <c r="B72" s="187">
        <v>2</v>
      </c>
      <c r="C72" s="188">
        <f t="shared" si="9"/>
        <v>9.5238095238095233E-2</v>
      </c>
      <c r="D72" s="190">
        <v>2</v>
      </c>
      <c r="E72" s="189">
        <f t="shared" si="10"/>
        <v>0.1</v>
      </c>
      <c r="F72" s="190">
        <v>1</v>
      </c>
      <c r="G72" s="189">
        <f t="shared" si="10"/>
        <v>0.05</v>
      </c>
      <c r="H72" s="190">
        <v>1</v>
      </c>
      <c r="I72" s="189">
        <f t="shared" si="11"/>
        <v>5.8823529411764705E-2</v>
      </c>
      <c r="J72" s="190">
        <f>3</f>
        <v>3</v>
      </c>
      <c r="K72" s="189">
        <f t="shared" si="10"/>
        <v>0.14285714285714285</v>
      </c>
      <c r="L72" s="190">
        <v>1</v>
      </c>
      <c r="M72" s="189">
        <f t="shared" si="12"/>
        <v>0.05</v>
      </c>
      <c r="N72" s="190">
        <v>1</v>
      </c>
      <c r="O72" s="189">
        <f t="shared" si="13"/>
        <v>0.05</v>
      </c>
      <c r="P72" s="190">
        <v>3</v>
      </c>
      <c r="Q72" s="189">
        <f t="shared" si="13"/>
        <v>0.14285714285714285</v>
      </c>
      <c r="R72" s="190">
        <v>3</v>
      </c>
      <c r="S72" s="189">
        <f t="shared" si="14"/>
        <v>0.16666666666666666</v>
      </c>
      <c r="T72" s="190"/>
      <c r="U72" s="191" t="e">
        <f t="shared" si="15"/>
        <v>#DIV/0!</v>
      </c>
      <c r="V72" s="192"/>
      <c r="W72" s="807">
        <f t="shared" si="16"/>
        <v>2</v>
      </c>
      <c r="X72" s="193" t="e">
        <f t="shared" si="17"/>
        <v>#DIV/0!</v>
      </c>
    </row>
    <row r="73" spans="1:24" s="1" customFormat="1" ht="15" customHeight="1" x14ac:dyDescent="0.2">
      <c r="A73" s="194" t="s">
        <v>51</v>
      </c>
      <c r="B73" s="195"/>
      <c r="C73" s="188"/>
      <c r="D73" s="196"/>
      <c r="E73" s="189"/>
      <c r="F73" s="196"/>
      <c r="G73" s="189"/>
      <c r="H73" s="196">
        <v>0</v>
      </c>
      <c r="I73" s="189">
        <f t="shared" si="11"/>
        <v>0</v>
      </c>
      <c r="J73" s="196">
        <f>0</f>
        <v>0</v>
      </c>
      <c r="K73" s="189">
        <f>J73/K$64</f>
        <v>0</v>
      </c>
      <c r="L73" s="196">
        <v>0</v>
      </c>
      <c r="M73" s="189">
        <f>L73/M$64</f>
        <v>0</v>
      </c>
      <c r="N73" s="196">
        <v>0</v>
      </c>
      <c r="O73" s="189">
        <f>N73/O$64</f>
        <v>0</v>
      </c>
      <c r="P73" s="196">
        <v>0</v>
      </c>
      <c r="Q73" s="189">
        <f>P73/Q$64</f>
        <v>0</v>
      </c>
      <c r="R73" s="196">
        <v>0</v>
      </c>
      <c r="S73" s="189">
        <f>R73/S$64</f>
        <v>0</v>
      </c>
      <c r="T73" s="190"/>
      <c r="U73" s="191" t="e">
        <f>T73/U$64</f>
        <v>#DIV/0!</v>
      </c>
      <c r="V73" s="192"/>
      <c r="W73" s="807">
        <f t="shared" si="16"/>
        <v>0</v>
      </c>
      <c r="X73" s="193" t="e">
        <f t="shared" si="17"/>
        <v>#DIV/0!</v>
      </c>
    </row>
    <row r="74" spans="1:24" s="1" customFormat="1" ht="15" customHeight="1" x14ac:dyDescent="0.2">
      <c r="A74" s="194" t="s">
        <v>52</v>
      </c>
      <c r="B74" s="195">
        <v>0</v>
      </c>
      <c r="C74" s="188">
        <f t="shared" si="9"/>
        <v>0</v>
      </c>
      <c r="D74" s="196">
        <v>0</v>
      </c>
      <c r="E74" s="189">
        <f t="shared" si="10"/>
        <v>0</v>
      </c>
      <c r="F74" s="196">
        <v>0</v>
      </c>
      <c r="G74" s="189">
        <f t="shared" si="10"/>
        <v>0</v>
      </c>
      <c r="H74" s="196">
        <v>0</v>
      </c>
      <c r="I74" s="189">
        <f t="shared" si="11"/>
        <v>0</v>
      </c>
      <c r="J74" s="196">
        <f>0</f>
        <v>0</v>
      </c>
      <c r="K74" s="189">
        <f t="shared" si="10"/>
        <v>0</v>
      </c>
      <c r="L74" s="196">
        <v>0</v>
      </c>
      <c r="M74" s="189">
        <f>L74/M$64</f>
        <v>0</v>
      </c>
      <c r="N74" s="196">
        <v>0</v>
      </c>
      <c r="O74" s="189">
        <f>N74/O$64</f>
        <v>0</v>
      </c>
      <c r="P74" s="196">
        <v>0</v>
      </c>
      <c r="Q74" s="189">
        <f>P74/Q$64</f>
        <v>0</v>
      </c>
      <c r="R74" s="196">
        <v>0</v>
      </c>
      <c r="S74" s="189">
        <f>R74/S$64</f>
        <v>0</v>
      </c>
      <c r="T74" s="196"/>
      <c r="U74" s="191" t="e">
        <f>T74/U$64</f>
        <v>#DIV/0!</v>
      </c>
      <c r="V74" s="192"/>
      <c r="W74" s="807">
        <f t="shared" si="16"/>
        <v>0</v>
      </c>
      <c r="X74" s="193" t="e">
        <f t="shared" si="17"/>
        <v>#DIV/0!</v>
      </c>
    </row>
    <row r="75" spans="1:24" s="1" customFormat="1" ht="18" customHeight="1" x14ac:dyDescent="0.2">
      <c r="A75" s="531" t="s">
        <v>53</v>
      </c>
      <c r="B75" s="197"/>
      <c r="C75" s="198"/>
      <c r="D75" s="200"/>
      <c r="E75" s="199"/>
      <c r="F75" s="200"/>
      <c r="G75" s="199"/>
      <c r="H75" s="200"/>
      <c r="I75" s="199"/>
      <c r="J75" s="200"/>
      <c r="K75" s="199"/>
      <c r="L75" s="200"/>
      <c r="M75" s="199"/>
      <c r="N75" s="200"/>
      <c r="O75" s="199"/>
      <c r="P75" s="200"/>
      <c r="Q75" s="199"/>
      <c r="R75" s="200"/>
      <c r="S75" s="199"/>
      <c r="T75" s="200"/>
      <c r="U75" s="201"/>
      <c r="V75" s="192"/>
      <c r="W75" s="807"/>
      <c r="X75" s="193"/>
    </row>
    <row r="76" spans="1:24" s="1" customFormat="1" ht="15" customHeight="1" x14ac:dyDescent="0.2">
      <c r="A76" s="186" t="s">
        <v>54</v>
      </c>
      <c r="B76" s="202">
        <v>19</v>
      </c>
      <c r="C76" s="188">
        <f>B76/C$64</f>
        <v>0.90476190476190477</v>
      </c>
      <c r="D76" s="93">
        <v>17</v>
      </c>
      <c r="E76" s="189">
        <f>D76/E$64</f>
        <v>0.85</v>
      </c>
      <c r="F76" s="93">
        <v>17</v>
      </c>
      <c r="G76" s="189">
        <f>F76/G$64</f>
        <v>0.85</v>
      </c>
      <c r="H76" s="93">
        <v>15</v>
      </c>
      <c r="I76" s="189">
        <f>H76/I$64</f>
        <v>0.88235294117647056</v>
      </c>
      <c r="J76" s="93">
        <f>17+1</f>
        <v>18</v>
      </c>
      <c r="K76" s="189">
        <f>J76/K$64</f>
        <v>0.8571428571428571</v>
      </c>
      <c r="L76" s="93">
        <v>18</v>
      </c>
      <c r="M76" s="189">
        <f>L76/M$64</f>
        <v>0.9</v>
      </c>
      <c r="N76" s="93">
        <v>18</v>
      </c>
      <c r="O76" s="189">
        <f>N76/O$64</f>
        <v>0.9</v>
      </c>
      <c r="P76" s="93">
        <v>19</v>
      </c>
      <c r="Q76" s="189">
        <f>P76/Q$64</f>
        <v>0.90476190476190477</v>
      </c>
      <c r="R76" s="93">
        <v>15</v>
      </c>
      <c r="S76" s="189">
        <f>R76/S$64</f>
        <v>0.83333333333333337</v>
      </c>
      <c r="T76" s="93"/>
      <c r="U76" s="191" t="e">
        <f>T76/U$64</f>
        <v>#DIV/0!</v>
      </c>
      <c r="V76" s="192"/>
      <c r="W76" s="807">
        <f t="shared" si="16"/>
        <v>17.5</v>
      </c>
      <c r="X76" s="193" t="e">
        <f t="shared" si="17"/>
        <v>#DIV/0!</v>
      </c>
    </row>
    <row r="77" spans="1:24" s="1" customFormat="1" ht="15" customHeight="1" x14ac:dyDescent="0.2">
      <c r="A77" s="186" t="s">
        <v>55</v>
      </c>
      <c r="B77" s="203">
        <v>2</v>
      </c>
      <c r="C77" s="188">
        <f>B77/C$64</f>
        <v>9.5238095238095233E-2</v>
      </c>
      <c r="D77" s="204">
        <v>3</v>
      </c>
      <c r="E77" s="189">
        <f>D77/E$64</f>
        <v>0.15</v>
      </c>
      <c r="F77" s="204">
        <v>3</v>
      </c>
      <c r="G77" s="189">
        <f>F77/G$64</f>
        <v>0.15</v>
      </c>
      <c r="H77" s="204">
        <v>2</v>
      </c>
      <c r="I77" s="189">
        <f>H77/I$64</f>
        <v>0.11764705882352941</v>
      </c>
      <c r="J77" s="204">
        <f>2+1</f>
        <v>3</v>
      </c>
      <c r="K77" s="189">
        <f>J77/K$64</f>
        <v>0.14285714285714285</v>
      </c>
      <c r="L77" s="204">
        <v>2</v>
      </c>
      <c r="M77" s="189">
        <f>L77/M$64</f>
        <v>0.1</v>
      </c>
      <c r="N77" s="204">
        <v>2</v>
      </c>
      <c r="O77" s="189">
        <f>N77/O$64</f>
        <v>0.1</v>
      </c>
      <c r="P77" s="204">
        <v>2</v>
      </c>
      <c r="Q77" s="189">
        <f>P77/Q$64</f>
        <v>9.5238095238095233E-2</v>
      </c>
      <c r="R77" s="204">
        <v>3</v>
      </c>
      <c r="S77" s="189">
        <f>R77/S$64</f>
        <v>0.16666666666666666</v>
      </c>
      <c r="T77" s="204"/>
      <c r="U77" s="191" t="e">
        <f>T77/U$64</f>
        <v>#DIV/0!</v>
      </c>
      <c r="V77" s="192"/>
      <c r="W77" s="807">
        <f t="shared" si="16"/>
        <v>2.25</v>
      </c>
      <c r="X77" s="193" t="e">
        <f t="shared" si="17"/>
        <v>#DIV/0!</v>
      </c>
    </row>
    <row r="78" spans="1:24" s="1" customFormat="1" ht="18" customHeight="1" x14ac:dyDescent="0.2">
      <c r="A78" s="531" t="s">
        <v>56</v>
      </c>
      <c r="B78" s="205"/>
      <c r="C78" s="188"/>
      <c r="D78" s="206"/>
      <c r="E78" s="189"/>
      <c r="F78" s="206"/>
      <c r="G78" s="189"/>
      <c r="H78" s="206"/>
      <c r="I78" s="189"/>
      <c r="J78" s="206"/>
      <c r="K78" s="189"/>
      <c r="L78" s="206"/>
      <c r="M78" s="189"/>
      <c r="N78" s="206"/>
      <c r="O78" s="189"/>
      <c r="P78" s="206"/>
      <c r="Q78" s="189"/>
      <c r="R78" s="206"/>
      <c r="S78" s="189"/>
      <c r="T78" s="206"/>
      <c r="U78" s="191"/>
      <c r="V78" s="192"/>
      <c r="W78" s="807"/>
      <c r="X78" s="193"/>
    </row>
    <row r="79" spans="1:24" s="1" customFormat="1" ht="15" customHeight="1" x14ac:dyDescent="0.2">
      <c r="A79" s="186" t="s">
        <v>57</v>
      </c>
      <c r="B79" s="203">
        <v>14</v>
      </c>
      <c r="C79" s="188">
        <f>B79/C$64</f>
        <v>0.66666666666666663</v>
      </c>
      <c r="D79" s="204">
        <v>14</v>
      </c>
      <c r="E79" s="189">
        <f>D79/E$64</f>
        <v>0.7</v>
      </c>
      <c r="F79" s="204">
        <v>15</v>
      </c>
      <c r="G79" s="189">
        <f>F79/G$64</f>
        <v>0.75</v>
      </c>
      <c r="H79" s="204">
        <v>13</v>
      </c>
      <c r="I79" s="189">
        <f>H79/I$64</f>
        <v>0.76470588235294112</v>
      </c>
      <c r="J79" s="204">
        <f>12+1</f>
        <v>13</v>
      </c>
      <c r="K79" s="189">
        <f>J79/K$64</f>
        <v>0.61904761904761907</v>
      </c>
      <c r="L79" s="204">
        <v>15</v>
      </c>
      <c r="M79" s="189">
        <f>L79/M$64</f>
        <v>0.75</v>
      </c>
      <c r="N79" s="204">
        <v>14</v>
      </c>
      <c r="O79" s="189">
        <f>N79/O$64</f>
        <v>0.7</v>
      </c>
      <c r="P79" s="204">
        <v>14</v>
      </c>
      <c r="Q79" s="189">
        <f>P79/Q$64</f>
        <v>0.66666666666666663</v>
      </c>
      <c r="R79" s="204">
        <v>11</v>
      </c>
      <c r="S79" s="189">
        <f>R79/S$64</f>
        <v>0.61111111111111116</v>
      </c>
      <c r="T79" s="204"/>
      <c r="U79" s="191" t="e">
        <f>T79/U$64</f>
        <v>#DIV/0!</v>
      </c>
      <c r="V79" s="192"/>
      <c r="W79" s="807">
        <f t="shared" si="16"/>
        <v>13.5</v>
      </c>
      <c r="X79" s="193" t="e">
        <f t="shared" si="17"/>
        <v>#DIV/0!</v>
      </c>
    </row>
    <row r="80" spans="1:24" s="1" customFormat="1" ht="15" customHeight="1" x14ac:dyDescent="0.2">
      <c r="A80" s="186" t="s">
        <v>58</v>
      </c>
      <c r="B80" s="203">
        <v>4</v>
      </c>
      <c r="C80" s="188">
        <f>B80/C$64</f>
        <v>0.19047619047619047</v>
      </c>
      <c r="D80" s="204">
        <v>3</v>
      </c>
      <c r="E80" s="189">
        <f>D80/E$64</f>
        <v>0.15</v>
      </c>
      <c r="F80" s="204">
        <v>2</v>
      </c>
      <c r="G80" s="189">
        <f>F80/G$64</f>
        <v>0.1</v>
      </c>
      <c r="H80" s="204">
        <v>3</v>
      </c>
      <c r="I80" s="189">
        <f>H80/I$64</f>
        <v>0.17647058823529413</v>
      </c>
      <c r="J80" s="204">
        <f>4</f>
        <v>4</v>
      </c>
      <c r="K80" s="189">
        <f>J80/K$64</f>
        <v>0.19047619047619047</v>
      </c>
      <c r="L80" s="204">
        <v>2</v>
      </c>
      <c r="M80" s="189">
        <f>L80/M$64</f>
        <v>0.1</v>
      </c>
      <c r="N80" s="204">
        <v>2</v>
      </c>
      <c r="O80" s="189">
        <f>N80/O$64</f>
        <v>0.1</v>
      </c>
      <c r="P80" s="204">
        <v>1</v>
      </c>
      <c r="Q80" s="189">
        <f>P80/Q$64</f>
        <v>4.7619047619047616E-2</v>
      </c>
      <c r="R80" s="204">
        <v>3</v>
      </c>
      <c r="S80" s="189">
        <f>R80/S$64</f>
        <v>0.16666666666666666</v>
      </c>
      <c r="T80" s="204"/>
      <c r="U80" s="191" t="e">
        <f>T80/U$64</f>
        <v>#DIV/0!</v>
      </c>
      <c r="V80" s="192"/>
      <c r="W80" s="807">
        <f t="shared" si="16"/>
        <v>2</v>
      </c>
      <c r="X80" s="193" t="e">
        <f t="shared" si="17"/>
        <v>#DIV/0!</v>
      </c>
    </row>
    <row r="81" spans="1:24" s="1" customFormat="1" ht="15" customHeight="1" x14ac:dyDescent="0.2">
      <c r="A81" s="186" t="s">
        <v>59</v>
      </c>
      <c r="B81" s="203">
        <v>3</v>
      </c>
      <c r="C81" s="188">
        <f>B81/C$64</f>
        <v>0.14285714285714285</v>
      </c>
      <c r="D81" s="204">
        <v>3</v>
      </c>
      <c r="E81" s="189">
        <f>D81/E$64</f>
        <v>0.15</v>
      </c>
      <c r="F81" s="204">
        <v>3</v>
      </c>
      <c r="G81" s="189">
        <f>F81/G$64</f>
        <v>0.15</v>
      </c>
      <c r="H81" s="204">
        <v>1</v>
      </c>
      <c r="I81" s="189">
        <f>H81/I$64</f>
        <v>5.8823529411764705E-2</v>
      </c>
      <c r="J81" s="204">
        <f>3+1</f>
        <v>4</v>
      </c>
      <c r="K81" s="189">
        <f>J81/K$64</f>
        <v>0.19047619047619047</v>
      </c>
      <c r="L81" s="204">
        <v>3</v>
      </c>
      <c r="M81" s="189">
        <f>L81/M$64</f>
        <v>0.15</v>
      </c>
      <c r="N81" s="204">
        <v>4</v>
      </c>
      <c r="O81" s="189">
        <f>N81/O$64</f>
        <v>0.2</v>
      </c>
      <c r="P81" s="204">
        <v>6</v>
      </c>
      <c r="Q81" s="189">
        <f>P81/Q$64</f>
        <v>0.2857142857142857</v>
      </c>
      <c r="R81" s="204">
        <v>4</v>
      </c>
      <c r="S81" s="189">
        <f>R81/S$64</f>
        <v>0.22222222222222221</v>
      </c>
      <c r="T81" s="204"/>
      <c r="U81" s="191" t="e">
        <f>T81/U$64</f>
        <v>#DIV/0!</v>
      </c>
      <c r="V81" s="192"/>
      <c r="W81" s="807">
        <f t="shared" si="16"/>
        <v>4.25</v>
      </c>
      <c r="X81" s="193" t="e">
        <f t="shared" si="17"/>
        <v>#DIV/0!</v>
      </c>
    </row>
    <row r="82" spans="1:24" s="1" customFormat="1" ht="18" customHeight="1" x14ac:dyDescent="0.2">
      <c r="A82" s="531" t="s">
        <v>60</v>
      </c>
      <c r="B82" s="205"/>
      <c r="C82" s="188"/>
      <c r="D82" s="206"/>
      <c r="E82" s="189"/>
      <c r="F82" s="206"/>
      <c r="G82" s="189"/>
      <c r="H82" s="206"/>
      <c r="I82" s="189"/>
      <c r="J82" s="206"/>
      <c r="K82" s="189"/>
      <c r="L82" s="206"/>
      <c r="M82" s="189"/>
      <c r="N82" s="206"/>
      <c r="O82" s="189"/>
      <c r="P82" s="206"/>
      <c r="Q82" s="189"/>
      <c r="R82" s="206"/>
      <c r="S82" s="189"/>
      <c r="T82" s="206"/>
      <c r="U82" s="191"/>
      <c r="V82" s="192"/>
      <c r="W82" s="807"/>
      <c r="X82" s="193"/>
    </row>
    <row r="83" spans="1:24" s="1" customFormat="1" ht="15" customHeight="1" x14ac:dyDescent="0.2">
      <c r="A83" s="186" t="s">
        <v>61</v>
      </c>
      <c r="B83" s="203">
        <v>18</v>
      </c>
      <c r="C83" s="188">
        <f>B83/C$64</f>
        <v>0.8571428571428571</v>
      </c>
      <c r="D83" s="204">
        <v>18</v>
      </c>
      <c r="E83" s="189">
        <f>D83/E$64</f>
        <v>0.9</v>
      </c>
      <c r="F83" s="204">
        <v>17</v>
      </c>
      <c r="G83" s="189">
        <f>F83/G$64</f>
        <v>0.85</v>
      </c>
      <c r="H83" s="204">
        <v>16</v>
      </c>
      <c r="I83" s="189">
        <f>H83/I$64</f>
        <v>0.94117647058823528</v>
      </c>
      <c r="J83" s="204">
        <f>17+1</f>
        <v>18</v>
      </c>
      <c r="K83" s="189">
        <f>J83/K$64</f>
        <v>0.8571428571428571</v>
      </c>
      <c r="L83" s="204">
        <v>19</v>
      </c>
      <c r="M83" s="189">
        <f>L83/M$64</f>
        <v>0.95</v>
      </c>
      <c r="N83" s="204">
        <v>18</v>
      </c>
      <c r="O83" s="189">
        <f>N83/O$64</f>
        <v>0.9</v>
      </c>
      <c r="P83" s="204">
        <v>18</v>
      </c>
      <c r="Q83" s="189">
        <f>P83/Q$64</f>
        <v>0.8571428571428571</v>
      </c>
      <c r="R83" s="204">
        <v>15</v>
      </c>
      <c r="S83" s="189">
        <f>R83/S$64</f>
        <v>0.83333333333333337</v>
      </c>
      <c r="T83" s="204"/>
      <c r="U83" s="191" t="e">
        <f>T83/U$64</f>
        <v>#DIV/0!</v>
      </c>
      <c r="V83" s="192"/>
      <c r="W83" s="807">
        <f t="shared" si="16"/>
        <v>17.5</v>
      </c>
      <c r="X83" s="193" t="e">
        <f t="shared" si="17"/>
        <v>#DIV/0!</v>
      </c>
    </row>
    <row r="84" spans="1:24" s="1" customFormat="1" ht="15" customHeight="1" x14ac:dyDescent="0.2">
      <c r="A84" s="186" t="s">
        <v>62</v>
      </c>
      <c r="B84" s="203">
        <v>2</v>
      </c>
      <c r="C84" s="188">
        <f>B84/C$64</f>
        <v>9.5238095238095233E-2</v>
      </c>
      <c r="D84" s="204">
        <v>2</v>
      </c>
      <c r="E84" s="189">
        <f>D84/E$64</f>
        <v>0.1</v>
      </c>
      <c r="F84" s="204">
        <v>3</v>
      </c>
      <c r="G84" s="189">
        <f>F84/G$64</f>
        <v>0.15</v>
      </c>
      <c r="H84" s="204">
        <v>1</v>
      </c>
      <c r="I84" s="189">
        <f>H84/I$64</f>
        <v>5.8823529411764705E-2</v>
      </c>
      <c r="J84" s="204">
        <f>2+1</f>
        <v>3</v>
      </c>
      <c r="K84" s="189">
        <f>J84/K$64</f>
        <v>0.14285714285714285</v>
      </c>
      <c r="L84" s="204">
        <v>1</v>
      </c>
      <c r="M84" s="189">
        <f>L84/M$64</f>
        <v>0.05</v>
      </c>
      <c r="N84" s="204">
        <v>1</v>
      </c>
      <c r="O84" s="189">
        <f>N84/O$64</f>
        <v>0.05</v>
      </c>
      <c r="P84" s="204">
        <v>2</v>
      </c>
      <c r="Q84" s="189">
        <f>P84/Q$64</f>
        <v>9.5238095238095233E-2</v>
      </c>
      <c r="R84" s="204">
        <v>2</v>
      </c>
      <c r="S84" s="189">
        <f>R84/S$64</f>
        <v>0.1111111111111111</v>
      </c>
      <c r="T84" s="204"/>
      <c r="U84" s="191" t="e">
        <f>T84/U$64</f>
        <v>#DIV/0!</v>
      </c>
      <c r="V84" s="192"/>
      <c r="W84" s="807">
        <f t="shared" si="16"/>
        <v>1.5</v>
      </c>
      <c r="X84" s="193" t="e">
        <f t="shared" si="17"/>
        <v>#DIV/0!</v>
      </c>
    </row>
    <row r="85" spans="1:24" s="1" customFormat="1" ht="15" customHeight="1" x14ac:dyDescent="0.2">
      <c r="A85" s="186" t="s">
        <v>63</v>
      </c>
      <c r="B85" s="203">
        <v>1</v>
      </c>
      <c r="C85" s="188">
        <f>B85/C$64</f>
        <v>4.7619047619047616E-2</v>
      </c>
      <c r="D85" s="204">
        <v>0</v>
      </c>
      <c r="E85" s="189">
        <f>D85/E$64</f>
        <v>0</v>
      </c>
      <c r="F85" s="204">
        <v>0</v>
      </c>
      <c r="G85" s="189">
        <f>F85/G$64</f>
        <v>0</v>
      </c>
      <c r="H85" s="204">
        <v>0</v>
      </c>
      <c r="I85" s="189">
        <f>H85/I$64</f>
        <v>0</v>
      </c>
      <c r="J85" s="204">
        <f>0</f>
        <v>0</v>
      </c>
      <c r="K85" s="189">
        <f>J85/K$64</f>
        <v>0</v>
      </c>
      <c r="L85" s="204">
        <v>0</v>
      </c>
      <c r="M85" s="189">
        <f>L85/M$64</f>
        <v>0</v>
      </c>
      <c r="N85" s="204">
        <v>1</v>
      </c>
      <c r="O85" s="189">
        <f>N85/O$64</f>
        <v>0.05</v>
      </c>
      <c r="P85" s="204">
        <v>1</v>
      </c>
      <c r="Q85" s="189">
        <f>P85/Q$64</f>
        <v>4.7619047619047616E-2</v>
      </c>
      <c r="R85" s="204">
        <v>1</v>
      </c>
      <c r="S85" s="189">
        <f>R85/S$64</f>
        <v>5.5555555555555552E-2</v>
      </c>
      <c r="T85" s="204"/>
      <c r="U85" s="191" t="e">
        <f>T85/U$64</f>
        <v>#DIV/0!</v>
      </c>
      <c r="V85" s="182"/>
      <c r="W85" s="807">
        <f t="shared" si="16"/>
        <v>0.75</v>
      </c>
      <c r="X85" s="193" t="e">
        <f t="shared" si="17"/>
        <v>#DIV/0!</v>
      </c>
    </row>
    <row r="86" spans="1:24" s="1" customFormat="1" ht="15" customHeight="1" thickBot="1" x14ac:dyDescent="0.25">
      <c r="A86" s="207" t="s">
        <v>64</v>
      </c>
      <c r="B86" s="208">
        <v>0</v>
      </c>
      <c r="C86" s="209">
        <f>B86/C$64</f>
        <v>0</v>
      </c>
      <c r="D86" s="211">
        <v>0</v>
      </c>
      <c r="E86" s="210">
        <f>D86/E$64</f>
        <v>0</v>
      </c>
      <c r="F86" s="211">
        <v>0</v>
      </c>
      <c r="G86" s="210">
        <f>F86/G$64</f>
        <v>0</v>
      </c>
      <c r="H86" s="211">
        <v>0</v>
      </c>
      <c r="I86" s="210">
        <f>H86/I$64</f>
        <v>0</v>
      </c>
      <c r="J86" s="211">
        <f>0</f>
        <v>0</v>
      </c>
      <c r="K86" s="210">
        <f>J86/K$64</f>
        <v>0</v>
      </c>
      <c r="L86" s="211">
        <v>0</v>
      </c>
      <c r="M86" s="210">
        <f>L86/M$64</f>
        <v>0</v>
      </c>
      <c r="N86" s="211">
        <v>0</v>
      </c>
      <c r="O86" s="210">
        <f>N86/O$64</f>
        <v>0</v>
      </c>
      <c r="P86" s="211">
        <v>0</v>
      </c>
      <c r="Q86" s="210">
        <f>P86/Q$64</f>
        <v>0</v>
      </c>
      <c r="R86" s="211">
        <v>0</v>
      </c>
      <c r="S86" s="210">
        <f>R86/S$64</f>
        <v>0</v>
      </c>
      <c r="T86" s="211"/>
      <c r="U86" s="212" t="e">
        <f>T86/U$64</f>
        <v>#DIV/0!</v>
      </c>
      <c r="V86" s="182"/>
      <c r="W86" s="811">
        <f t="shared" si="16"/>
        <v>0</v>
      </c>
      <c r="X86" s="213" t="e">
        <f t="shared" si="17"/>
        <v>#DIV/0!</v>
      </c>
    </row>
    <row r="87" spans="1:24" ht="15" customHeight="1" thickTop="1" x14ac:dyDescent="0.2">
      <c r="A87" s="462" t="s">
        <v>160</v>
      </c>
    </row>
    <row r="88" spans="1:24" ht="15" customHeight="1" x14ac:dyDescent="0.2">
      <c r="A88" s="1"/>
      <c r="H88" s="47" t="s">
        <v>19</v>
      </c>
      <c r="J88" s="47" t="s">
        <v>19</v>
      </c>
      <c r="L88" s="47" t="s">
        <v>19</v>
      </c>
      <c r="N88" s="47" t="s">
        <v>19</v>
      </c>
      <c r="P88" s="47" t="s">
        <v>19</v>
      </c>
      <c r="R88" s="47" t="s">
        <v>19</v>
      </c>
      <c r="T88" s="47"/>
    </row>
    <row r="89" spans="1:24" x14ac:dyDescent="0.2">
      <c r="A89" s="1"/>
    </row>
    <row r="90" spans="1:24" x14ac:dyDescent="0.2">
      <c r="A90" s="1"/>
    </row>
    <row r="91" spans="1:24" x14ac:dyDescent="0.2">
      <c r="A91" s="1"/>
    </row>
    <row r="92" spans="1:24" x14ac:dyDescent="0.2">
      <c r="A92" s="1"/>
    </row>
    <row r="93" spans="1:24" x14ac:dyDescent="0.2">
      <c r="A93" s="1"/>
    </row>
    <row r="94" spans="1:24" x14ac:dyDescent="0.2">
      <c r="A94" s="1"/>
    </row>
    <row r="95" spans="1:24" x14ac:dyDescent="0.2">
      <c r="A95" s="1"/>
    </row>
    <row r="96" spans="1:24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</sheetData>
  <mergeCells count="77">
    <mergeCell ref="N52:O52"/>
    <mergeCell ref="P52:Q52"/>
    <mergeCell ref="R52:S52"/>
    <mergeCell ref="W52:X52"/>
    <mergeCell ref="B52:C52"/>
    <mergeCell ref="D52:E52"/>
    <mergeCell ref="F52:G52"/>
    <mergeCell ref="H52:I52"/>
    <mergeCell ref="J52:K52"/>
    <mergeCell ref="L52:M52"/>
    <mergeCell ref="T52:U52"/>
    <mergeCell ref="N9:O9"/>
    <mergeCell ref="P9:Q9"/>
    <mergeCell ref="R9:S9"/>
    <mergeCell ref="W9:X9"/>
    <mergeCell ref="B9:C9"/>
    <mergeCell ref="D9:E9"/>
    <mergeCell ref="F9:G9"/>
    <mergeCell ref="H9:I9"/>
    <mergeCell ref="J9:K9"/>
    <mergeCell ref="L9:M9"/>
    <mergeCell ref="T9:U9"/>
    <mergeCell ref="L25:M25"/>
    <mergeCell ref="N25:O25"/>
    <mergeCell ref="P25:Q25"/>
    <mergeCell ref="R25:S25"/>
    <mergeCell ref="W25:X25"/>
    <mergeCell ref="T25:U25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W32:X32"/>
    <mergeCell ref="T32:U32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W35:X35"/>
    <mergeCell ref="T35:U35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W42:X42"/>
    <mergeCell ref="T42:U42"/>
    <mergeCell ref="B45:C45"/>
    <mergeCell ref="D45:E45"/>
    <mergeCell ref="F45:G45"/>
    <mergeCell ref="H45:I45"/>
    <mergeCell ref="J45:K45"/>
    <mergeCell ref="N45:O45"/>
    <mergeCell ref="P45:Q45"/>
    <mergeCell ref="R45:S45"/>
    <mergeCell ref="W45:X45"/>
    <mergeCell ref="L45:M45"/>
    <mergeCell ref="T45:U45"/>
  </mergeCells>
  <printOptions horizontalCentered="1"/>
  <pageMargins left="0.7" right="0.7" top="0.5" bottom="0.5" header="0.3" footer="0.3"/>
  <pageSetup scale="56" orientation="landscape" r:id="rId1"/>
  <headerFooter alignWithMargins="0">
    <oddFooter>&amp;LPrepared by Planning and Analysis&amp;C&amp;P of &amp;N&amp;RUpdated &amp;D</oddFooter>
  </headerFooter>
  <rowBreaks count="1" manualBreakCount="1">
    <brk id="50" max="21" man="1"/>
  </rowBreaks>
  <colBreaks count="1" manualBreakCount="1">
    <brk id="21" min="8" max="86" man="1"/>
  </colBreaks>
  <ignoredErrors>
    <ignoredError sqref="I68:J8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2"/>
  <sheetViews>
    <sheetView view="pageBreakPreview" zoomScaleNormal="85" zoomScaleSheetLayoutView="100" workbookViewId="0">
      <pane xSplit="1" ySplit="3" topLeftCell="K28" activePane="bottomRight" state="frozen"/>
      <selection activeCell="W23" sqref="W23:X23"/>
      <selection pane="topRight" activeCell="W23" sqref="W23:X23"/>
      <selection pane="bottomLeft" activeCell="W23" sqref="W23:X23"/>
      <selection pane="bottomRight" activeCell="W23" sqref="W23:X23"/>
    </sheetView>
  </sheetViews>
  <sheetFormatPr defaultColWidth="10.28515625" defaultRowHeight="12.75" x14ac:dyDescent="0.2"/>
  <cols>
    <col min="1" max="1" width="40.8554687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4" ht="15.75" x14ac:dyDescent="0.25">
      <c r="A1" s="438" t="s">
        <v>148</v>
      </c>
    </row>
    <row r="2" spans="1:24" ht="15.75" x14ac:dyDescent="0.25">
      <c r="A2" s="438" t="s">
        <v>149</v>
      </c>
    </row>
    <row r="3" spans="1:24" x14ac:dyDescent="0.2">
      <c r="A3" s="439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</row>
    <row r="4" spans="1:24" ht="15.75" x14ac:dyDescent="0.25">
      <c r="A4" s="440" t="s">
        <v>150</v>
      </c>
    </row>
    <row r="5" spans="1:24" x14ac:dyDescent="0.2">
      <c r="A5" s="444"/>
    </row>
    <row r="6" spans="1:24" ht="25.5" x14ac:dyDescent="0.2">
      <c r="A6" s="445" t="s">
        <v>156</v>
      </c>
    </row>
    <row r="7" spans="1:24" x14ac:dyDescent="0.2">
      <c r="A7" s="441">
        <v>3670045070</v>
      </c>
    </row>
    <row r="8" spans="1:24" ht="13.5" thickBot="1" x14ac:dyDescent="0.25">
      <c r="A8" s="1"/>
    </row>
    <row r="9" spans="1:24" ht="14.25" thickTop="1" thickBot="1" x14ac:dyDescent="0.25">
      <c r="A9" s="3"/>
      <c r="B9" s="943" t="s">
        <v>0</v>
      </c>
      <c r="C9" s="940"/>
      <c r="D9" s="943" t="s">
        <v>1</v>
      </c>
      <c r="E9" s="940"/>
      <c r="F9" s="943" t="s">
        <v>2</v>
      </c>
      <c r="G9" s="940"/>
      <c r="H9" s="943" t="s">
        <v>3</v>
      </c>
      <c r="I9" s="940"/>
      <c r="J9" s="943" t="s">
        <v>4</v>
      </c>
      <c r="K9" s="940"/>
      <c r="L9" s="943" t="s">
        <v>5</v>
      </c>
      <c r="M9" s="940"/>
      <c r="N9" s="943" t="s">
        <v>6</v>
      </c>
      <c r="O9" s="940"/>
      <c r="P9" s="943" t="s">
        <v>7</v>
      </c>
      <c r="Q9" s="940"/>
      <c r="R9" s="943" t="s">
        <v>8</v>
      </c>
      <c r="S9" s="940"/>
      <c r="T9" s="943" t="s">
        <v>186</v>
      </c>
      <c r="U9" s="944"/>
      <c r="W9" s="957" t="s">
        <v>9</v>
      </c>
      <c r="X9" s="958"/>
    </row>
    <row r="10" spans="1:24" x14ac:dyDescent="0.2">
      <c r="A10" s="4"/>
      <c r="B10" s="49" t="s">
        <v>10</v>
      </c>
      <c r="C10" s="7" t="s">
        <v>11</v>
      </c>
      <c r="D10" s="49" t="s">
        <v>10</v>
      </c>
      <c r="E10" s="7" t="s">
        <v>11</v>
      </c>
      <c r="F10" s="49" t="s">
        <v>10</v>
      </c>
      <c r="G10" s="7"/>
      <c r="H10" s="49" t="s">
        <v>10</v>
      </c>
      <c r="I10" s="7"/>
      <c r="J10" s="49" t="s">
        <v>10</v>
      </c>
      <c r="K10" s="7"/>
      <c r="L10" s="49" t="s">
        <v>10</v>
      </c>
      <c r="M10" s="7"/>
      <c r="N10" s="49" t="s">
        <v>10</v>
      </c>
      <c r="O10" s="7"/>
      <c r="P10" s="49" t="s">
        <v>10</v>
      </c>
      <c r="Q10" s="7"/>
      <c r="R10" s="49" t="s">
        <v>10</v>
      </c>
      <c r="S10" s="7"/>
      <c r="T10" s="49" t="s">
        <v>10</v>
      </c>
      <c r="U10" s="74"/>
      <c r="W10" s="863" t="s">
        <v>12</v>
      </c>
      <c r="X10" s="6"/>
    </row>
    <row r="11" spans="1:24" s="861" customFormat="1" ht="24.75" thickBot="1" x14ac:dyDescent="0.25">
      <c r="A11" s="860" t="s">
        <v>73</v>
      </c>
      <c r="B11" s="688" t="s">
        <v>14</v>
      </c>
      <c r="C11" s="688" t="s">
        <v>15</v>
      </c>
      <c r="D11" s="688" t="s">
        <v>14</v>
      </c>
      <c r="E11" s="688" t="s">
        <v>15</v>
      </c>
      <c r="F11" s="690" t="s">
        <v>174</v>
      </c>
      <c r="G11" s="691" t="s">
        <v>173</v>
      </c>
      <c r="H11" s="688" t="s">
        <v>174</v>
      </c>
      <c r="I11" s="670" t="s">
        <v>173</v>
      </c>
      <c r="J11" s="688" t="s">
        <v>174</v>
      </c>
      <c r="K11" s="670" t="s">
        <v>173</v>
      </c>
      <c r="L11" s="690" t="s">
        <v>174</v>
      </c>
      <c r="M11" s="691" t="s">
        <v>173</v>
      </c>
      <c r="N11" s="690" t="s">
        <v>174</v>
      </c>
      <c r="O11" s="691" t="s">
        <v>173</v>
      </c>
      <c r="P11" s="688" t="s">
        <v>174</v>
      </c>
      <c r="Q11" s="670" t="s">
        <v>173</v>
      </c>
      <c r="R11" s="688" t="s">
        <v>174</v>
      </c>
      <c r="S11" s="670" t="s">
        <v>173</v>
      </c>
      <c r="T11" s="690" t="s">
        <v>174</v>
      </c>
      <c r="U11" s="847" t="s">
        <v>173</v>
      </c>
      <c r="W11" s="850" t="s">
        <v>174</v>
      </c>
      <c r="X11" s="862" t="s">
        <v>173</v>
      </c>
    </row>
    <row r="12" spans="1:24" x14ac:dyDescent="0.2">
      <c r="A12" s="117" t="s">
        <v>189</v>
      </c>
      <c r="B12" s="129"/>
      <c r="C12" s="130"/>
      <c r="D12" s="11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5"/>
      <c r="V12" s="776"/>
      <c r="W12" s="775"/>
      <c r="X12" s="21"/>
    </row>
    <row r="13" spans="1:24" s="20" customFormat="1" ht="15" customHeight="1" x14ac:dyDescent="0.2">
      <c r="A13" s="17" t="s">
        <v>16</v>
      </c>
      <c r="B13" s="18">
        <v>85</v>
      </c>
      <c r="C13" s="84"/>
      <c r="D13" s="19">
        <v>88</v>
      </c>
      <c r="E13" s="86"/>
      <c r="F13" s="18">
        <v>104</v>
      </c>
      <c r="G13" s="86"/>
      <c r="H13" s="18">
        <v>103</v>
      </c>
      <c r="I13" s="86"/>
      <c r="J13" s="18">
        <v>108</v>
      </c>
      <c r="K13" s="86"/>
      <c r="L13" s="18">
        <v>132</v>
      </c>
      <c r="M13" s="86"/>
      <c r="N13" s="18">
        <v>128</v>
      </c>
      <c r="O13" s="86"/>
      <c r="P13" s="18">
        <v>112</v>
      </c>
      <c r="Q13" s="88"/>
      <c r="R13" s="18">
        <f>53+46+6</f>
        <v>105</v>
      </c>
      <c r="S13" s="88"/>
      <c r="T13" s="92">
        <v>94</v>
      </c>
      <c r="U13" s="90"/>
      <c r="W13" s="16">
        <f>AVERAGE(N13,L13,R13,T13,P13)</f>
        <v>114.2</v>
      </c>
      <c r="X13" s="264"/>
    </row>
    <row r="14" spans="1:24" s="20" customFormat="1" ht="15" customHeight="1" thickBot="1" x14ac:dyDescent="0.25">
      <c r="A14" s="22" t="s">
        <v>17</v>
      </c>
      <c r="B14" s="24">
        <v>144</v>
      </c>
      <c r="C14" s="85"/>
      <c r="D14" s="67">
        <v>144</v>
      </c>
      <c r="E14" s="87"/>
      <c r="F14" s="24">
        <v>124</v>
      </c>
      <c r="G14" s="87"/>
      <c r="H14" s="24">
        <v>127</v>
      </c>
      <c r="I14" s="87"/>
      <c r="J14" s="24">
        <v>144</v>
      </c>
      <c r="K14" s="87"/>
      <c r="L14" s="24">
        <v>144</v>
      </c>
      <c r="M14" s="87"/>
      <c r="N14" s="24">
        <v>168</v>
      </c>
      <c r="O14" s="87"/>
      <c r="P14" s="24">
        <v>159</v>
      </c>
      <c r="Q14" s="89"/>
      <c r="R14" s="24">
        <f>69+109</f>
        <v>178</v>
      </c>
      <c r="S14" s="89"/>
      <c r="T14" s="24">
        <v>174</v>
      </c>
      <c r="U14" s="91"/>
      <c r="W14" s="105">
        <f>AVERAGE(N14,L14,R14,T14,P14)</f>
        <v>164.6</v>
      </c>
      <c r="X14" s="275"/>
    </row>
    <row r="15" spans="1:24" s="53" customFormat="1" ht="15" customHeight="1" thickBot="1" x14ac:dyDescent="0.25">
      <c r="A15" s="75" t="s">
        <v>18</v>
      </c>
      <c r="B15" s="68">
        <f t="shared" ref="B15:R15" si="0">SUM(B13:B14)</f>
        <v>229</v>
      </c>
      <c r="C15" s="77">
        <v>47</v>
      </c>
      <c r="D15" s="68">
        <f t="shared" si="0"/>
        <v>232</v>
      </c>
      <c r="E15" s="77">
        <v>43</v>
      </c>
      <c r="F15" s="68">
        <f t="shared" si="0"/>
        <v>228</v>
      </c>
      <c r="G15" s="77">
        <v>43</v>
      </c>
      <c r="H15" s="68">
        <f t="shared" si="0"/>
        <v>230</v>
      </c>
      <c r="I15" s="77">
        <v>34</v>
      </c>
      <c r="J15" s="68">
        <f t="shared" si="0"/>
        <v>252</v>
      </c>
      <c r="K15" s="77">
        <v>38</v>
      </c>
      <c r="L15" s="68">
        <f t="shared" si="0"/>
        <v>276</v>
      </c>
      <c r="M15" s="77">
        <v>36</v>
      </c>
      <c r="N15" s="68">
        <f t="shared" si="0"/>
        <v>296</v>
      </c>
      <c r="O15" s="77">
        <v>54</v>
      </c>
      <c r="P15" s="68">
        <f t="shared" si="0"/>
        <v>271</v>
      </c>
      <c r="Q15" s="77">
        <v>42</v>
      </c>
      <c r="R15" s="68">
        <f t="shared" si="0"/>
        <v>283</v>
      </c>
      <c r="S15" s="848">
        <v>50</v>
      </c>
      <c r="T15" s="774">
        <f t="shared" ref="T15:U15" si="1">SUM(T13:T14)</f>
        <v>268</v>
      </c>
      <c r="U15" s="825">
        <f t="shared" si="1"/>
        <v>0</v>
      </c>
      <c r="W15" s="327">
        <f>AVERAGE(N15,L15,R15,T15,P15)</f>
        <v>278.8</v>
      </c>
      <c r="X15" s="328">
        <f>AVERAGE(O15,M15,S15,K15,Q15)</f>
        <v>44</v>
      </c>
    </row>
    <row r="16" spans="1:24" s="53" customFormat="1" ht="15" customHeight="1" x14ac:dyDescent="0.2">
      <c r="A16" s="131" t="s">
        <v>20</v>
      </c>
      <c r="B16" s="11">
        <v>64</v>
      </c>
      <c r="C16" s="146">
        <v>17</v>
      </c>
      <c r="D16" s="11">
        <v>77</v>
      </c>
      <c r="E16" s="147">
        <v>23</v>
      </c>
      <c r="F16" s="13">
        <v>71</v>
      </c>
      <c r="G16" s="147">
        <v>22</v>
      </c>
      <c r="H16" s="13">
        <v>76</v>
      </c>
      <c r="I16" s="147">
        <v>30</v>
      </c>
      <c r="J16" s="13">
        <v>73</v>
      </c>
      <c r="K16" s="147">
        <v>27</v>
      </c>
      <c r="L16" s="13">
        <v>62</v>
      </c>
      <c r="M16" s="147">
        <v>19</v>
      </c>
      <c r="N16" s="13">
        <v>59</v>
      </c>
      <c r="O16" s="147">
        <v>22</v>
      </c>
      <c r="P16" s="13">
        <v>57</v>
      </c>
      <c r="Q16" s="147">
        <v>27</v>
      </c>
      <c r="R16" s="13">
        <v>50</v>
      </c>
      <c r="S16" s="147">
        <v>15</v>
      </c>
      <c r="T16" s="92">
        <v>51</v>
      </c>
      <c r="U16" s="90"/>
      <c r="W16" s="270">
        <f>AVERAGE(N16,L16,R16,T16,P16)</f>
        <v>55.8</v>
      </c>
      <c r="X16" s="271">
        <f t="shared" ref="X16:X17" si="2">AVERAGE(O16,M16,S16,K16,Q16)</f>
        <v>22</v>
      </c>
    </row>
    <row r="17" spans="1:24" s="53" customFormat="1" ht="15" customHeight="1" x14ac:dyDescent="0.2">
      <c r="A17" s="22" t="s">
        <v>92</v>
      </c>
      <c r="B17" s="11">
        <v>21</v>
      </c>
      <c r="C17" s="155">
        <v>3</v>
      </c>
      <c r="D17" s="11">
        <v>20</v>
      </c>
      <c r="E17" s="156">
        <v>5</v>
      </c>
      <c r="F17" s="13">
        <v>15</v>
      </c>
      <c r="G17" s="156">
        <v>1</v>
      </c>
      <c r="H17" s="13">
        <v>21</v>
      </c>
      <c r="I17" s="156">
        <v>5</v>
      </c>
      <c r="J17" s="13">
        <v>22</v>
      </c>
      <c r="K17" s="156">
        <v>2</v>
      </c>
      <c r="L17" s="13">
        <v>28</v>
      </c>
      <c r="M17" s="156">
        <v>6</v>
      </c>
      <c r="N17" s="13">
        <v>24</v>
      </c>
      <c r="O17" s="156">
        <v>5</v>
      </c>
      <c r="P17" s="13">
        <v>25</v>
      </c>
      <c r="Q17" s="156">
        <v>5</v>
      </c>
      <c r="R17" s="13">
        <v>29</v>
      </c>
      <c r="S17" s="156">
        <v>5</v>
      </c>
      <c r="T17" s="92">
        <v>35</v>
      </c>
      <c r="U17" s="90"/>
      <c r="W17" s="16">
        <f>AVERAGE(N17,L17,R17,T17,P17)</f>
        <v>28.2</v>
      </c>
      <c r="X17" s="271">
        <f t="shared" si="2"/>
        <v>4.5999999999999996</v>
      </c>
    </row>
    <row r="18" spans="1:24" ht="15" customHeight="1" x14ac:dyDescent="0.2">
      <c r="A18" s="104" t="s">
        <v>102</v>
      </c>
      <c r="B18" s="129"/>
      <c r="C18" s="130"/>
      <c r="D18" s="11"/>
      <c r="E18" s="12"/>
      <c r="F18" s="13"/>
      <c r="G18" s="12"/>
      <c r="H18" s="13"/>
      <c r="I18" s="12"/>
      <c r="J18" s="13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833"/>
      <c r="V18" s="776"/>
      <c r="W18" s="775"/>
      <c r="X18" s="21"/>
    </row>
    <row r="19" spans="1:24" s="20" customFormat="1" ht="15" customHeight="1" x14ac:dyDescent="0.2">
      <c r="A19" s="17" t="s">
        <v>16</v>
      </c>
      <c r="B19" s="18">
        <v>77</v>
      </c>
      <c r="C19" s="84"/>
      <c r="D19" s="19">
        <v>94</v>
      </c>
      <c r="E19" s="86"/>
      <c r="F19" s="18">
        <v>97</v>
      </c>
      <c r="G19" s="86"/>
      <c r="H19" s="18">
        <v>92</v>
      </c>
      <c r="I19" s="86"/>
      <c r="J19" s="18">
        <v>89</v>
      </c>
      <c r="K19" s="86"/>
      <c r="L19" s="18">
        <v>91</v>
      </c>
      <c r="M19" s="86"/>
      <c r="N19" s="18">
        <v>82</v>
      </c>
      <c r="O19" s="86"/>
      <c r="P19" s="18">
        <v>84</v>
      </c>
      <c r="Q19" s="88"/>
      <c r="R19" s="18">
        <v>80</v>
      </c>
      <c r="S19" s="88"/>
      <c r="T19" s="92">
        <v>96</v>
      </c>
      <c r="U19" s="90"/>
      <c r="W19" s="16">
        <f t="shared" ref="W19:W24" si="3">AVERAGE(N19,L19,R19,T19,P19)</f>
        <v>86.6</v>
      </c>
      <c r="X19" s="264"/>
    </row>
    <row r="20" spans="1:24" s="20" customFormat="1" ht="15" customHeight="1" thickBot="1" x14ac:dyDescent="0.25">
      <c r="A20" s="22" t="s">
        <v>17</v>
      </c>
      <c r="B20" s="24">
        <v>75</v>
      </c>
      <c r="C20" s="85"/>
      <c r="D20" s="67">
        <v>76</v>
      </c>
      <c r="E20" s="87"/>
      <c r="F20" s="24">
        <v>75</v>
      </c>
      <c r="G20" s="87"/>
      <c r="H20" s="24">
        <v>67</v>
      </c>
      <c r="I20" s="87"/>
      <c r="J20" s="24">
        <v>71</v>
      </c>
      <c r="K20" s="87"/>
      <c r="L20" s="24">
        <v>73</v>
      </c>
      <c r="M20" s="87"/>
      <c r="N20" s="24">
        <v>72</v>
      </c>
      <c r="O20" s="87"/>
      <c r="P20" s="24">
        <v>71</v>
      </c>
      <c r="Q20" s="89"/>
      <c r="R20" s="24">
        <v>68</v>
      </c>
      <c r="S20" s="89"/>
      <c r="T20" s="24">
        <v>68</v>
      </c>
      <c r="U20" s="91"/>
      <c r="W20" s="105">
        <f t="shared" si="3"/>
        <v>70.400000000000006</v>
      </c>
      <c r="X20" s="275"/>
    </row>
    <row r="21" spans="1:24" s="53" customFormat="1" ht="15" customHeight="1" thickBot="1" x14ac:dyDescent="0.25">
      <c r="A21" s="75" t="s">
        <v>18</v>
      </c>
      <c r="B21" s="68">
        <f t="shared" ref="B21" si="4">SUM(B19:B20)</f>
        <v>152</v>
      </c>
      <c r="C21" s="77">
        <v>12</v>
      </c>
      <c r="D21" s="407">
        <f t="shared" ref="D21" si="5">SUM(D19:D20)</f>
        <v>170</v>
      </c>
      <c r="E21" s="77">
        <v>18</v>
      </c>
      <c r="F21" s="68">
        <f t="shared" ref="F21" si="6">SUM(F19:F20)</f>
        <v>172</v>
      </c>
      <c r="G21" s="77">
        <v>21</v>
      </c>
      <c r="H21" s="68">
        <f t="shared" ref="H21" si="7">SUM(H19:H20)</f>
        <v>159</v>
      </c>
      <c r="I21" s="77">
        <v>19</v>
      </c>
      <c r="J21" s="68">
        <f t="shared" ref="J21" si="8">SUM(J19:J20)</f>
        <v>160</v>
      </c>
      <c r="K21" s="77">
        <v>19</v>
      </c>
      <c r="L21" s="68">
        <f t="shared" ref="L21" si="9">SUM(L19:L20)</f>
        <v>164</v>
      </c>
      <c r="M21" s="77">
        <v>13</v>
      </c>
      <c r="N21" s="68">
        <f t="shared" ref="N21" si="10">SUM(N19:N20)</f>
        <v>154</v>
      </c>
      <c r="O21" s="77">
        <v>24</v>
      </c>
      <c r="P21" s="68">
        <f t="shared" ref="P21" si="11">SUM(P19:P20)</f>
        <v>155</v>
      </c>
      <c r="Q21" s="77">
        <v>20</v>
      </c>
      <c r="R21" s="68">
        <f t="shared" ref="R21" si="12">SUM(R19:R20)</f>
        <v>148</v>
      </c>
      <c r="S21" s="773">
        <v>17</v>
      </c>
      <c r="T21" s="774">
        <f t="shared" ref="T21:U21" si="13">SUM(T19:T20)</f>
        <v>164</v>
      </c>
      <c r="U21" s="825">
        <f t="shared" si="13"/>
        <v>0</v>
      </c>
      <c r="W21" s="327">
        <f t="shared" si="3"/>
        <v>157</v>
      </c>
      <c r="X21" s="328">
        <f t="shared" ref="X21:X24" si="14">AVERAGE(O21,M21,S21,K21,Q21)</f>
        <v>18.600000000000001</v>
      </c>
    </row>
    <row r="22" spans="1:24" s="53" customFormat="1" ht="15" customHeight="1" x14ac:dyDescent="0.2">
      <c r="A22" s="131" t="s">
        <v>103</v>
      </c>
      <c r="B22" s="11">
        <v>2</v>
      </c>
      <c r="C22" s="146">
        <v>0</v>
      </c>
      <c r="D22" s="11">
        <v>1</v>
      </c>
      <c r="E22" s="147">
        <v>0</v>
      </c>
      <c r="F22" s="13">
        <v>0</v>
      </c>
      <c r="G22" s="147">
        <v>0</v>
      </c>
      <c r="H22" s="13">
        <v>0</v>
      </c>
      <c r="I22" s="147">
        <v>0</v>
      </c>
      <c r="J22" s="13">
        <v>0</v>
      </c>
      <c r="K22" s="147">
        <v>0</v>
      </c>
      <c r="L22" s="13">
        <v>0</v>
      </c>
      <c r="M22" s="147">
        <v>0</v>
      </c>
      <c r="N22" s="13">
        <v>0</v>
      </c>
      <c r="O22" s="147">
        <v>0</v>
      </c>
      <c r="P22" s="13">
        <v>0</v>
      </c>
      <c r="Q22" s="147">
        <v>0</v>
      </c>
      <c r="R22" s="13">
        <v>0</v>
      </c>
      <c r="S22" s="147">
        <v>0</v>
      </c>
      <c r="T22" s="92">
        <v>0</v>
      </c>
      <c r="U22" s="90"/>
      <c r="W22" s="270">
        <f t="shared" si="3"/>
        <v>0</v>
      </c>
      <c r="X22" s="271">
        <f t="shared" si="14"/>
        <v>0</v>
      </c>
    </row>
    <row r="23" spans="1:24" s="53" customFormat="1" ht="15" customHeight="1" x14ac:dyDescent="0.2">
      <c r="A23" s="17" t="s">
        <v>104</v>
      </c>
      <c r="B23" s="11">
        <v>0</v>
      </c>
      <c r="C23" s="146">
        <v>1</v>
      </c>
      <c r="D23" s="11">
        <v>0</v>
      </c>
      <c r="E23" s="147">
        <v>0</v>
      </c>
      <c r="F23" s="13">
        <v>0</v>
      </c>
      <c r="G23" s="147">
        <v>0</v>
      </c>
      <c r="H23" s="13">
        <v>0</v>
      </c>
      <c r="I23" s="147">
        <v>0</v>
      </c>
      <c r="J23" s="13">
        <v>0</v>
      </c>
      <c r="K23" s="147">
        <v>0</v>
      </c>
      <c r="L23" s="13">
        <v>0</v>
      </c>
      <c r="M23" s="147">
        <v>0</v>
      </c>
      <c r="N23" s="13">
        <v>0</v>
      </c>
      <c r="O23" s="147">
        <v>0</v>
      </c>
      <c r="P23" s="13">
        <v>0</v>
      </c>
      <c r="Q23" s="147">
        <v>0</v>
      </c>
      <c r="R23" s="13">
        <v>0</v>
      </c>
      <c r="S23" s="147">
        <v>0</v>
      </c>
      <c r="T23" s="92">
        <v>0</v>
      </c>
      <c r="U23" s="90"/>
      <c r="W23" s="16">
        <f t="shared" si="3"/>
        <v>0</v>
      </c>
      <c r="X23" s="271">
        <f t="shared" si="14"/>
        <v>0</v>
      </c>
    </row>
    <row r="24" spans="1:24" s="20" customFormat="1" ht="15" customHeight="1" thickBot="1" x14ac:dyDescent="0.25">
      <c r="A24" s="132" t="s">
        <v>105</v>
      </c>
      <c r="B24" s="154">
        <v>0</v>
      </c>
      <c r="C24" s="167">
        <v>0</v>
      </c>
      <c r="D24" s="154">
        <v>0</v>
      </c>
      <c r="E24" s="153">
        <v>0</v>
      </c>
      <c r="F24" s="152">
        <v>0</v>
      </c>
      <c r="G24" s="153">
        <v>1</v>
      </c>
      <c r="H24" s="152">
        <v>0</v>
      </c>
      <c r="I24" s="153">
        <v>0</v>
      </c>
      <c r="J24" s="152">
        <v>0</v>
      </c>
      <c r="K24" s="153">
        <v>1</v>
      </c>
      <c r="L24" s="152">
        <v>1</v>
      </c>
      <c r="M24" s="153">
        <v>0</v>
      </c>
      <c r="N24" s="152">
        <v>0</v>
      </c>
      <c r="O24" s="153">
        <v>0</v>
      </c>
      <c r="P24" s="152">
        <v>0</v>
      </c>
      <c r="Q24" s="153">
        <v>0</v>
      </c>
      <c r="R24" s="152">
        <v>0</v>
      </c>
      <c r="S24" s="153">
        <v>0</v>
      </c>
      <c r="T24" s="134">
        <v>0</v>
      </c>
      <c r="U24" s="834"/>
      <c r="W24" s="16">
        <f t="shared" si="3"/>
        <v>0.2</v>
      </c>
      <c r="X24" s="271">
        <f t="shared" si="14"/>
        <v>0.2</v>
      </c>
    </row>
    <row r="25" spans="1:24" ht="18" customHeight="1" thickTop="1" thickBot="1" x14ac:dyDescent="0.25">
      <c r="A25" s="52" t="s">
        <v>68</v>
      </c>
      <c r="B25" s="979"/>
      <c r="C25" s="980"/>
      <c r="D25" s="979"/>
      <c r="E25" s="980"/>
      <c r="F25" s="979"/>
      <c r="G25" s="980"/>
      <c r="H25" s="979"/>
      <c r="I25" s="980"/>
      <c r="J25" s="979"/>
      <c r="K25" s="980"/>
      <c r="L25" s="979"/>
      <c r="M25" s="980"/>
      <c r="N25" s="979"/>
      <c r="O25" s="980"/>
      <c r="P25" s="979"/>
      <c r="Q25" s="980"/>
      <c r="R25" s="979"/>
      <c r="S25" s="980"/>
      <c r="T25" s="979"/>
      <c r="U25" s="981"/>
      <c r="W25" s="957"/>
      <c r="X25" s="958"/>
    </row>
    <row r="26" spans="1:24" ht="15" customHeight="1" x14ac:dyDescent="0.2">
      <c r="A26" s="677" t="s">
        <v>75</v>
      </c>
      <c r="B26" s="79"/>
      <c r="C26" s="82"/>
      <c r="D26" s="265"/>
      <c r="E26" s="82"/>
      <c r="F26" s="265"/>
      <c r="G26" s="82"/>
      <c r="H26" s="265"/>
      <c r="I26" s="82"/>
      <c r="J26" s="265"/>
      <c r="K26" s="82"/>
      <c r="L26" s="265"/>
      <c r="M26" s="82"/>
      <c r="N26" s="265"/>
      <c r="O26" s="82"/>
      <c r="P26" s="265"/>
      <c r="Q26" s="82"/>
      <c r="R26" s="265"/>
      <c r="S26" s="82"/>
      <c r="T26" s="265"/>
      <c r="U26" s="83"/>
      <c r="V26" s="277"/>
      <c r="W26" s="283"/>
      <c r="X26" s="819" t="e">
        <f t="shared" ref="X26:X31" si="15">AVERAGE(O26,M26,S26,U26,Q26)</f>
        <v>#DIV/0!</v>
      </c>
    </row>
    <row r="27" spans="1:24" ht="15" customHeight="1" x14ac:dyDescent="0.2">
      <c r="A27" s="569" t="s">
        <v>190</v>
      </c>
      <c r="B27" s="281"/>
      <c r="C27" s="80">
        <v>0.81</v>
      </c>
      <c r="D27" s="281"/>
      <c r="E27" s="80">
        <v>0.63</v>
      </c>
      <c r="F27" s="281"/>
      <c r="G27" s="80">
        <v>0.63</v>
      </c>
      <c r="H27" s="281"/>
      <c r="I27" s="80">
        <v>0.69</v>
      </c>
      <c r="J27" s="281"/>
      <c r="K27" s="80">
        <v>0.76</v>
      </c>
      <c r="L27" s="281"/>
      <c r="M27" s="80">
        <v>0.69</v>
      </c>
      <c r="N27" s="281"/>
      <c r="O27" s="80">
        <v>0.75</v>
      </c>
      <c r="P27" s="281"/>
      <c r="Q27" s="80">
        <v>0.76</v>
      </c>
      <c r="R27" s="281"/>
      <c r="S27" s="935"/>
      <c r="T27" s="281"/>
      <c r="U27" s="828"/>
      <c r="V27" s="277"/>
      <c r="W27" s="283"/>
      <c r="X27" s="254">
        <f t="shared" ref="X27:X30" si="16">AVERAGE(O27,M27,S27,K27,Q27)</f>
        <v>0.74</v>
      </c>
    </row>
    <row r="28" spans="1:24" ht="15" customHeight="1" x14ac:dyDescent="0.2">
      <c r="A28" s="569" t="s">
        <v>191</v>
      </c>
      <c r="B28" s="281"/>
      <c r="C28" s="80">
        <v>0.7</v>
      </c>
      <c r="D28" s="281"/>
      <c r="E28" s="80">
        <v>0.69</v>
      </c>
      <c r="F28" s="281"/>
      <c r="G28" s="80">
        <v>0.57999999999999996</v>
      </c>
      <c r="H28" s="281"/>
      <c r="I28" s="80">
        <v>0.84</v>
      </c>
      <c r="J28" s="281"/>
      <c r="K28" s="80">
        <v>0.75</v>
      </c>
      <c r="L28" s="281"/>
      <c r="M28" s="80">
        <v>0.91</v>
      </c>
      <c r="N28" s="281"/>
      <c r="O28" s="80">
        <v>0.86</v>
      </c>
      <c r="P28" s="281"/>
      <c r="Q28" s="80">
        <v>0.76</v>
      </c>
      <c r="R28" s="281"/>
      <c r="S28" s="935"/>
      <c r="T28" s="281"/>
      <c r="U28" s="828"/>
      <c r="V28" s="277"/>
      <c r="W28" s="283"/>
      <c r="X28" s="254">
        <f t="shared" si="16"/>
        <v>0.82000000000000006</v>
      </c>
    </row>
    <row r="29" spans="1:24" ht="15" customHeight="1" x14ac:dyDescent="0.2">
      <c r="A29" s="463" t="s">
        <v>192</v>
      </c>
      <c r="B29" s="282"/>
      <c r="C29" s="81">
        <v>0.14000000000000001</v>
      </c>
      <c r="D29" s="282"/>
      <c r="E29" s="81">
        <v>0.33</v>
      </c>
      <c r="F29" s="282"/>
      <c r="G29" s="81">
        <v>0.24</v>
      </c>
      <c r="H29" s="282"/>
      <c r="I29" s="81">
        <v>0.23</v>
      </c>
      <c r="J29" s="282"/>
      <c r="K29" s="81">
        <v>0.15</v>
      </c>
      <c r="L29" s="282"/>
      <c r="M29" s="81">
        <v>0.22</v>
      </c>
      <c r="N29" s="282"/>
      <c r="O29" s="81">
        <v>0.16</v>
      </c>
      <c r="P29" s="282"/>
      <c r="Q29" s="81">
        <v>0.17</v>
      </c>
      <c r="R29" s="282"/>
      <c r="S29" s="936"/>
      <c r="T29" s="282"/>
      <c r="U29" s="835"/>
      <c r="V29" s="277"/>
      <c r="W29" s="283"/>
      <c r="X29" s="254">
        <f t="shared" si="16"/>
        <v>0.17500000000000002</v>
      </c>
    </row>
    <row r="30" spans="1:24" ht="15" customHeight="1" x14ac:dyDescent="0.2">
      <c r="A30" s="463" t="s">
        <v>193</v>
      </c>
      <c r="B30" s="282"/>
      <c r="C30" s="81">
        <v>0.2</v>
      </c>
      <c r="D30" s="282"/>
      <c r="E30" s="81">
        <v>0.19</v>
      </c>
      <c r="F30" s="282"/>
      <c r="G30" s="81">
        <v>0.32</v>
      </c>
      <c r="H30" s="282"/>
      <c r="I30" s="81">
        <v>0.11</v>
      </c>
      <c r="J30" s="282"/>
      <c r="K30" s="81">
        <v>0.19</v>
      </c>
      <c r="L30" s="282"/>
      <c r="M30" s="81">
        <v>0.09</v>
      </c>
      <c r="N30" s="282"/>
      <c r="O30" s="81">
        <v>0.14000000000000001</v>
      </c>
      <c r="P30" s="282"/>
      <c r="Q30" s="81">
        <v>0.18</v>
      </c>
      <c r="R30" s="282"/>
      <c r="S30" s="936"/>
      <c r="T30" s="282"/>
      <c r="U30" s="835"/>
      <c r="V30" s="277"/>
      <c r="W30" s="283"/>
      <c r="X30" s="254">
        <f t="shared" si="16"/>
        <v>0.15000000000000002</v>
      </c>
    </row>
    <row r="31" spans="1:24" ht="15" customHeight="1" thickBot="1" x14ac:dyDescent="0.25">
      <c r="A31" s="570" t="s">
        <v>72</v>
      </c>
      <c r="B31" s="56"/>
      <c r="C31" s="57"/>
      <c r="D31" s="56"/>
      <c r="E31" s="57"/>
      <c r="F31" s="56"/>
      <c r="G31" s="57"/>
      <c r="H31" s="56"/>
      <c r="I31" s="57"/>
      <c r="J31" s="56"/>
      <c r="K31" s="57"/>
      <c r="L31" s="56"/>
      <c r="M31" s="57"/>
      <c r="N31" s="56"/>
      <c r="O31" s="57"/>
      <c r="P31" s="56"/>
      <c r="Q31" s="57"/>
      <c r="R31" s="56"/>
      <c r="S31" s="57"/>
      <c r="T31" s="56"/>
      <c r="U31" s="58"/>
      <c r="W31" s="279"/>
      <c r="X31" s="820" t="e">
        <f t="shared" si="15"/>
        <v>#DIV/0!</v>
      </c>
    </row>
    <row r="32" spans="1:24" ht="18" customHeight="1" thickTop="1" thickBot="1" x14ac:dyDescent="0.25">
      <c r="A32" s="230" t="s">
        <v>74</v>
      </c>
      <c r="B32" s="967"/>
      <c r="C32" s="968"/>
      <c r="D32" s="967"/>
      <c r="E32" s="968"/>
      <c r="F32" s="967"/>
      <c r="G32" s="968"/>
      <c r="H32" s="967"/>
      <c r="I32" s="968"/>
      <c r="J32" s="967"/>
      <c r="K32" s="968"/>
      <c r="L32" s="967"/>
      <c r="M32" s="968"/>
      <c r="N32" s="967"/>
      <c r="O32" s="968"/>
      <c r="P32" s="967"/>
      <c r="Q32" s="968"/>
      <c r="R32" s="967"/>
      <c r="S32" s="968"/>
      <c r="T32" s="967"/>
      <c r="U32" s="962"/>
      <c r="V32" s="231"/>
      <c r="W32" s="961"/>
      <c r="X32" s="962"/>
    </row>
    <row r="33" spans="1:27" ht="15" customHeight="1" x14ac:dyDescent="0.2">
      <c r="A33" s="667" t="s">
        <v>106</v>
      </c>
      <c r="B33" s="255"/>
      <c r="C33" s="284">
        <v>26.9</v>
      </c>
      <c r="D33" s="285"/>
      <c r="E33" s="284">
        <v>27.2</v>
      </c>
      <c r="F33" s="285"/>
      <c r="G33" s="284">
        <v>27.1</v>
      </c>
      <c r="H33" s="285"/>
      <c r="I33" s="284">
        <v>27.3</v>
      </c>
      <c r="J33" s="285"/>
      <c r="K33" s="284">
        <v>27.2</v>
      </c>
      <c r="L33" s="285"/>
      <c r="M33" s="284">
        <v>26.7</v>
      </c>
      <c r="N33" s="285"/>
      <c r="O33" s="284">
        <v>26.5</v>
      </c>
      <c r="P33" s="285"/>
      <c r="Q33" s="284">
        <v>26.6</v>
      </c>
      <c r="R33" s="285"/>
      <c r="S33" s="284">
        <v>26.5</v>
      </c>
      <c r="T33" s="255"/>
      <c r="U33" s="286"/>
      <c r="V33" s="231"/>
      <c r="W33" s="318"/>
      <c r="X33" s="320">
        <f>AVERAGE(O33,M33,S33,U33,Q33)</f>
        <v>26.575000000000003</v>
      </c>
    </row>
    <row r="34" spans="1:27" ht="15" customHeight="1" thickBot="1" x14ac:dyDescent="0.25">
      <c r="A34" s="666" t="s">
        <v>107</v>
      </c>
      <c r="B34" s="288"/>
      <c r="C34" s="287">
        <v>27.3</v>
      </c>
      <c r="D34" s="288"/>
      <c r="E34" s="287">
        <v>27.1</v>
      </c>
      <c r="F34" s="288"/>
      <c r="G34" s="287">
        <v>26.7</v>
      </c>
      <c r="H34" s="288"/>
      <c r="I34" s="287">
        <v>26.3</v>
      </c>
      <c r="J34" s="288"/>
      <c r="K34" s="287">
        <v>27.2</v>
      </c>
      <c r="L34" s="288"/>
      <c r="M34" s="287">
        <v>28</v>
      </c>
      <c r="N34" s="288"/>
      <c r="O34" s="287">
        <v>27.3</v>
      </c>
      <c r="P34" s="288"/>
      <c r="Q34" s="287">
        <v>27.1</v>
      </c>
      <c r="R34" s="288"/>
      <c r="S34" s="287">
        <v>28.1</v>
      </c>
      <c r="T34" s="288"/>
      <c r="U34" s="289"/>
      <c r="V34" s="231"/>
      <c r="W34" s="319"/>
      <c r="X34" s="321">
        <f>AVERAGE(O34,M34,S34,U34,Q34)</f>
        <v>27.625</v>
      </c>
    </row>
    <row r="35" spans="1:27" ht="18" customHeight="1" thickTop="1" thickBot="1" x14ac:dyDescent="0.25">
      <c r="A35" s="63" t="s">
        <v>21</v>
      </c>
      <c r="B35" s="979"/>
      <c r="C35" s="980"/>
      <c r="D35" s="979"/>
      <c r="E35" s="980"/>
      <c r="F35" s="979"/>
      <c r="G35" s="980"/>
      <c r="H35" s="979"/>
      <c r="I35" s="980"/>
      <c r="J35" s="979"/>
      <c r="K35" s="980"/>
      <c r="L35" s="979"/>
      <c r="M35" s="980"/>
      <c r="N35" s="979"/>
      <c r="O35" s="980"/>
      <c r="P35" s="979"/>
      <c r="Q35" s="980"/>
      <c r="R35" s="979"/>
      <c r="S35" s="980"/>
      <c r="T35" s="979"/>
      <c r="U35" s="981"/>
      <c r="W35" s="957"/>
      <c r="X35" s="958"/>
    </row>
    <row r="36" spans="1:27" ht="15" customHeight="1" x14ac:dyDescent="0.2">
      <c r="A36" s="463" t="s">
        <v>22</v>
      </c>
      <c r="B36" s="33"/>
      <c r="C36" s="35">
        <v>846</v>
      </c>
      <c r="D36" s="32"/>
      <c r="E36" s="34">
        <v>996</v>
      </c>
      <c r="F36" s="33"/>
      <c r="G36" s="34">
        <v>1029</v>
      </c>
      <c r="H36" s="33"/>
      <c r="I36" s="34">
        <v>1056</v>
      </c>
      <c r="J36" s="33"/>
      <c r="K36" s="34">
        <v>1263</v>
      </c>
      <c r="L36" s="33"/>
      <c r="M36" s="34">
        <v>1098</v>
      </c>
      <c r="N36" s="33"/>
      <c r="O36" s="34">
        <v>1404</v>
      </c>
      <c r="P36" s="33"/>
      <c r="Q36" s="34">
        <v>1432</v>
      </c>
      <c r="R36" s="33"/>
      <c r="S36" s="34">
        <v>1441</v>
      </c>
      <c r="T36" s="33"/>
      <c r="U36" s="822"/>
      <c r="W36" s="36"/>
      <c r="X36" s="37">
        <f t="shared" ref="X36:X40" si="17">AVERAGE(O36,M36,S36,K36,Q36)</f>
        <v>1327.6</v>
      </c>
    </row>
    <row r="37" spans="1:27" ht="15" customHeight="1" x14ac:dyDescent="0.2">
      <c r="A37" s="463" t="s">
        <v>23</v>
      </c>
      <c r="B37" s="33"/>
      <c r="C37" s="35">
        <v>4030</v>
      </c>
      <c r="D37" s="32"/>
      <c r="E37" s="34">
        <v>3926</v>
      </c>
      <c r="F37" s="33"/>
      <c r="G37" s="34">
        <v>4052</v>
      </c>
      <c r="H37" s="33"/>
      <c r="I37" s="34">
        <v>4257</v>
      </c>
      <c r="J37" s="33"/>
      <c r="K37" s="34">
        <v>4437</v>
      </c>
      <c r="L37" s="33"/>
      <c r="M37" s="34">
        <v>4788</v>
      </c>
      <c r="N37" s="33"/>
      <c r="O37" s="34">
        <v>4969</v>
      </c>
      <c r="P37" s="33"/>
      <c r="Q37" s="34">
        <v>5157</v>
      </c>
      <c r="R37" s="33"/>
      <c r="S37" s="34">
        <v>5239</v>
      </c>
      <c r="T37" s="33"/>
      <c r="U37" s="822"/>
      <c r="W37" s="38"/>
      <c r="X37" s="37">
        <f t="shared" si="17"/>
        <v>4918</v>
      </c>
    </row>
    <row r="38" spans="1:27" ht="15" customHeight="1" x14ac:dyDescent="0.2">
      <c r="A38" s="463" t="s">
        <v>24</v>
      </c>
      <c r="B38" s="33"/>
      <c r="C38" s="35">
        <v>817</v>
      </c>
      <c r="D38" s="32"/>
      <c r="E38" s="34">
        <v>858</v>
      </c>
      <c r="F38" s="33"/>
      <c r="G38" s="34">
        <v>842</v>
      </c>
      <c r="H38" s="33"/>
      <c r="I38" s="34">
        <v>896</v>
      </c>
      <c r="J38" s="33"/>
      <c r="K38" s="34">
        <v>951</v>
      </c>
      <c r="L38" s="33"/>
      <c r="M38" s="34">
        <v>717</v>
      </c>
      <c r="N38" s="33"/>
      <c r="O38" s="34">
        <v>647</v>
      </c>
      <c r="P38" s="33"/>
      <c r="Q38" s="34">
        <v>563</v>
      </c>
      <c r="R38" s="33"/>
      <c r="S38" s="34">
        <v>594</v>
      </c>
      <c r="T38" s="33"/>
      <c r="U38" s="822"/>
      <c r="W38" s="38"/>
      <c r="X38" s="37">
        <f t="shared" si="17"/>
        <v>694.4</v>
      </c>
    </row>
    <row r="39" spans="1:27" ht="15" customHeight="1" thickBot="1" x14ac:dyDescent="0.25">
      <c r="A39" s="859" t="s">
        <v>25</v>
      </c>
      <c r="B39" s="69"/>
      <c r="C39" s="35">
        <v>210</v>
      </c>
      <c r="D39" s="32"/>
      <c r="E39" s="34">
        <v>187</v>
      </c>
      <c r="F39" s="33"/>
      <c r="G39" s="34">
        <v>123</v>
      </c>
      <c r="H39" s="33"/>
      <c r="I39" s="34">
        <v>172</v>
      </c>
      <c r="J39" s="33"/>
      <c r="K39" s="34">
        <v>213</v>
      </c>
      <c r="L39" s="33"/>
      <c r="M39" s="34">
        <v>297</v>
      </c>
      <c r="N39" s="33"/>
      <c r="O39" s="34">
        <v>220</v>
      </c>
      <c r="P39" s="33"/>
      <c r="Q39" s="34">
        <v>205</v>
      </c>
      <c r="R39" s="33"/>
      <c r="S39" s="34">
        <v>262</v>
      </c>
      <c r="T39" s="69"/>
      <c r="U39" s="830"/>
      <c r="W39" s="45"/>
      <c r="X39" s="335">
        <f t="shared" si="17"/>
        <v>239.4</v>
      </c>
    </row>
    <row r="40" spans="1:27" ht="15" customHeight="1" thickBot="1" x14ac:dyDescent="0.25">
      <c r="A40" s="858" t="s">
        <v>26</v>
      </c>
      <c r="B40" s="72"/>
      <c r="C40" s="73">
        <f>SUM(C36:C39)</f>
        <v>5903</v>
      </c>
      <c r="D40" s="71"/>
      <c r="E40" s="70">
        <f>SUM(E36:E39)</f>
        <v>5967</v>
      </c>
      <c r="F40" s="72"/>
      <c r="G40" s="70">
        <f>SUM(G36:G39)</f>
        <v>6046</v>
      </c>
      <c r="H40" s="72"/>
      <c r="I40" s="70">
        <f>SUM(I36:I39)</f>
        <v>6381</v>
      </c>
      <c r="J40" s="72"/>
      <c r="K40" s="70">
        <f>SUM(K36:K39)</f>
        <v>6864</v>
      </c>
      <c r="L40" s="72"/>
      <c r="M40" s="70">
        <f>SUM(M36:M39)</f>
        <v>6900</v>
      </c>
      <c r="N40" s="72"/>
      <c r="O40" s="70">
        <f>SUM(O36:O39)</f>
        <v>7240</v>
      </c>
      <c r="P40" s="72"/>
      <c r="Q40" s="70">
        <f>SUM(Q36:Q39)</f>
        <v>7357</v>
      </c>
      <c r="R40" s="72"/>
      <c r="S40" s="70">
        <f>SUM(S36:S39)</f>
        <v>7536</v>
      </c>
      <c r="T40" s="72"/>
      <c r="U40" s="831">
        <f>SUM(U36:U39)</f>
        <v>0</v>
      </c>
      <c r="W40" s="338"/>
      <c r="X40" s="339">
        <f t="shared" si="17"/>
        <v>7179.4</v>
      </c>
    </row>
    <row r="41" spans="1:27" ht="15" customHeight="1" thickTop="1" thickBot="1" x14ac:dyDescent="0.25">
      <c r="A41" s="43"/>
      <c r="B41" s="59"/>
      <c r="C41" s="61"/>
      <c r="D41" s="59"/>
      <c r="E41" s="62"/>
      <c r="F41" s="59"/>
      <c r="G41" s="62"/>
      <c r="H41" s="59"/>
      <c r="I41" s="62"/>
      <c r="J41" s="59"/>
      <c r="K41" s="62"/>
      <c r="L41" s="59"/>
      <c r="M41" s="62"/>
      <c r="N41" s="59"/>
      <c r="O41" s="62"/>
      <c r="P41" s="59"/>
      <c r="Q41" s="62"/>
      <c r="R41" s="59"/>
      <c r="S41" s="62"/>
      <c r="T41" s="59"/>
      <c r="U41" s="62"/>
      <c r="V41" s="66"/>
      <c r="W41" s="65"/>
      <c r="X41" s="61"/>
    </row>
    <row r="42" spans="1:27" ht="18" customHeight="1" thickTop="1" thickBot="1" x14ac:dyDescent="0.25">
      <c r="A42" s="214" t="s">
        <v>27</v>
      </c>
      <c r="B42" s="955" t="s">
        <v>28</v>
      </c>
      <c r="C42" s="966"/>
      <c r="D42" s="955" t="s">
        <v>29</v>
      </c>
      <c r="E42" s="956"/>
      <c r="F42" s="955" t="s">
        <v>30</v>
      </c>
      <c r="G42" s="956"/>
      <c r="H42" s="955" t="s">
        <v>31</v>
      </c>
      <c r="I42" s="956"/>
      <c r="J42" s="955" t="s">
        <v>32</v>
      </c>
      <c r="K42" s="956"/>
      <c r="L42" s="955" t="s">
        <v>33</v>
      </c>
      <c r="M42" s="956"/>
      <c r="N42" s="955" t="s">
        <v>34</v>
      </c>
      <c r="O42" s="956"/>
      <c r="P42" s="955" t="s">
        <v>35</v>
      </c>
      <c r="Q42" s="956"/>
      <c r="R42" s="955" t="s">
        <v>36</v>
      </c>
      <c r="S42" s="956"/>
      <c r="T42" s="955" t="s">
        <v>187</v>
      </c>
      <c r="U42" s="963"/>
      <c r="V42" s="431"/>
      <c r="W42" s="961" t="s">
        <v>9</v>
      </c>
      <c r="X42" s="962"/>
      <c r="Y42" s="42"/>
      <c r="Z42" s="42"/>
      <c r="AA42" s="43"/>
    </row>
    <row r="43" spans="1:27" ht="15" customHeight="1" x14ac:dyDescent="0.2">
      <c r="A43" s="432" t="s">
        <v>143</v>
      </c>
      <c r="B43" s="215"/>
      <c r="C43" s="216">
        <v>0.59299999999999997</v>
      </c>
      <c r="D43" s="217"/>
      <c r="E43" s="218">
        <v>0.62</v>
      </c>
      <c r="F43" s="219"/>
      <c r="G43" s="218">
        <v>0.57999999999999996</v>
      </c>
      <c r="H43" s="219"/>
      <c r="I43" s="218">
        <v>0.59199999999999997</v>
      </c>
      <c r="J43" s="219"/>
      <c r="K43" s="218">
        <v>0.58599999999999997</v>
      </c>
      <c r="L43" s="219"/>
      <c r="M43" s="218">
        <v>0.60099999999999998</v>
      </c>
      <c r="N43" s="219"/>
      <c r="O43" s="218">
        <v>0.63</v>
      </c>
      <c r="P43" s="219"/>
      <c r="Q43" s="218">
        <v>0.61</v>
      </c>
      <c r="R43" s="219"/>
      <c r="S43" s="218">
        <v>0.622</v>
      </c>
      <c r="T43" s="219"/>
      <c r="U43" s="220">
        <v>0.65300000000000002</v>
      </c>
      <c r="V43" s="428"/>
      <c r="W43" s="221"/>
      <c r="X43" s="222">
        <f>AVERAGE(O43,M43,S43,U43,Q43)</f>
        <v>0.62319999999999998</v>
      </c>
      <c r="Y43" s="42"/>
      <c r="Z43" s="42"/>
      <c r="AA43" s="43"/>
    </row>
    <row r="44" spans="1:27" ht="15" customHeight="1" x14ac:dyDescent="0.2">
      <c r="A44" s="433" t="s">
        <v>144</v>
      </c>
      <c r="B44" s="223"/>
      <c r="C44" s="224">
        <v>0.187</v>
      </c>
      <c r="D44" s="223"/>
      <c r="E44" s="224">
        <v>0.17399999999999999</v>
      </c>
      <c r="F44" s="225"/>
      <c r="G44" s="224">
        <v>0.13200000000000001</v>
      </c>
      <c r="H44" s="225"/>
      <c r="I44" s="224">
        <v>0.161</v>
      </c>
      <c r="J44" s="225"/>
      <c r="K44" s="224">
        <v>0.14699999999999999</v>
      </c>
      <c r="L44" s="225"/>
      <c r="M44" s="224">
        <v>0.14499999999999999</v>
      </c>
      <c r="N44" s="225"/>
      <c r="O44" s="224">
        <v>0.114</v>
      </c>
      <c r="P44" s="225"/>
      <c r="Q44" s="224">
        <v>0.108</v>
      </c>
      <c r="R44" s="225"/>
      <c r="S44" s="224">
        <v>0.113</v>
      </c>
      <c r="T44" s="225"/>
      <c r="U44" s="226">
        <v>0.11899999999999999</v>
      </c>
      <c r="V44" s="428"/>
      <c r="W44" s="227"/>
      <c r="X44" s="228">
        <f>AVERAGE(O44,M44,S44,U44,Q44)</f>
        <v>0.11979999999999999</v>
      </c>
      <c r="Y44" s="42"/>
      <c r="Z44" s="42"/>
      <c r="AA44" s="43"/>
    </row>
    <row r="45" spans="1:27" ht="15" customHeight="1" thickBot="1" x14ac:dyDescent="0.25">
      <c r="A45" s="229" t="s">
        <v>147</v>
      </c>
      <c r="B45" s="973">
        <f>1-C43-C44</f>
        <v>0.22000000000000003</v>
      </c>
      <c r="C45" s="970"/>
      <c r="D45" s="973">
        <f>1-E43-E44</f>
        <v>0.20600000000000002</v>
      </c>
      <c r="E45" s="970"/>
      <c r="F45" s="973">
        <f>1-G43-G44</f>
        <v>0.28800000000000003</v>
      </c>
      <c r="G45" s="970"/>
      <c r="H45" s="973">
        <f>1-I43-I44</f>
        <v>0.24700000000000003</v>
      </c>
      <c r="I45" s="970"/>
      <c r="J45" s="973">
        <f>1-K43-K44</f>
        <v>0.26700000000000002</v>
      </c>
      <c r="K45" s="970"/>
      <c r="L45" s="973">
        <f>1-M43-M44</f>
        <v>0.254</v>
      </c>
      <c r="M45" s="970"/>
      <c r="N45" s="973">
        <f>1-O43-O44</f>
        <v>0.25600000000000001</v>
      </c>
      <c r="O45" s="970"/>
      <c r="P45" s="973">
        <f>1-Q43-Q44</f>
        <v>0.28200000000000003</v>
      </c>
      <c r="Q45" s="970"/>
      <c r="R45" s="973">
        <f>1-S43-S44</f>
        <v>0.26500000000000001</v>
      </c>
      <c r="S45" s="970"/>
      <c r="T45" s="973">
        <f>1-U43-U44</f>
        <v>0.22799999999999998</v>
      </c>
      <c r="U45" s="972"/>
      <c r="V45" s="428"/>
      <c r="W45" s="971">
        <f>AVERAGE(N45,L45,R45,T45,P45)</f>
        <v>0.25700000000000001</v>
      </c>
      <c r="X45" s="972" t="e">
        <f>AVERAGE(O45,M45,I45,K45,Q45)</f>
        <v>#DIV/0!</v>
      </c>
      <c r="Y45" s="44"/>
      <c r="Z45" s="42"/>
      <c r="AA45" s="43"/>
    </row>
    <row r="46" spans="1:27" s="2" customFormat="1" ht="18" customHeight="1" thickTop="1" thickBot="1" x14ac:dyDescent="0.25">
      <c r="A46" s="181" t="s">
        <v>65</v>
      </c>
      <c r="B46" s="237" t="s">
        <v>37</v>
      </c>
      <c r="C46" s="238" t="s">
        <v>71</v>
      </c>
      <c r="D46" s="237" t="s">
        <v>37</v>
      </c>
      <c r="E46" s="238" t="s">
        <v>71</v>
      </c>
      <c r="F46" s="237" t="s">
        <v>37</v>
      </c>
      <c r="G46" s="238" t="s">
        <v>71</v>
      </c>
      <c r="H46" s="237" t="s">
        <v>37</v>
      </c>
      <c r="I46" s="238" t="s">
        <v>71</v>
      </c>
      <c r="J46" s="237" t="s">
        <v>37</v>
      </c>
      <c r="K46" s="238" t="s">
        <v>71</v>
      </c>
      <c r="L46" s="237" t="s">
        <v>37</v>
      </c>
      <c r="M46" s="238" t="s">
        <v>71</v>
      </c>
      <c r="N46" s="237" t="s">
        <v>37</v>
      </c>
      <c r="O46" s="238" t="s">
        <v>71</v>
      </c>
      <c r="P46" s="237" t="s">
        <v>37</v>
      </c>
      <c r="Q46" s="238">
        <v>0.1</v>
      </c>
      <c r="R46" s="237" t="s">
        <v>37</v>
      </c>
      <c r="S46" s="238" t="s">
        <v>71</v>
      </c>
      <c r="T46" s="237" t="s">
        <v>37</v>
      </c>
      <c r="U46" s="239" t="s">
        <v>71</v>
      </c>
      <c r="V46" s="240"/>
      <c r="W46" s="644" t="s">
        <v>37</v>
      </c>
      <c r="X46" s="645" t="s">
        <v>71</v>
      </c>
    </row>
    <row r="47" spans="1:27" ht="15" customHeight="1" x14ac:dyDescent="0.2">
      <c r="A47" s="243" t="s">
        <v>66</v>
      </c>
      <c r="B47" s="244"/>
      <c r="C47" s="245">
        <f>B47/B16</f>
        <v>0</v>
      </c>
      <c r="D47" s="244"/>
      <c r="E47" s="245">
        <f>D47/D16</f>
        <v>0</v>
      </c>
      <c r="F47" s="791"/>
      <c r="G47" s="871"/>
      <c r="H47" s="244">
        <v>19</v>
      </c>
      <c r="I47" s="245">
        <f>H47/H16</f>
        <v>0.25</v>
      </c>
      <c r="J47" s="244">
        <v>25</v>
      </c>
      <c r="K47" s="245">
        <f>J47/J16</f>
        <v>0.34246575342465752</v>
      </c>
      <c r="L47" s="244">
        <v>14</v>
      </c>
      <c r="M47" s="245">
        <f>L47/L16</f>
        <v>0.22580645161290322</v>
      </c>
      <c r="N47" s="244">
        <v>12</v>
      </c>
      <c r="O47" s="245">
        <f>N47/N16</f>
        <v>0.20338983050847459</v>
      </c>
      <c r="P47" s="244">
        <v>10</v>
      </c>
      <c r="Q47" s="245">
        <f>P47/P16</f>
        <v>0.17543859649122806</v>
      </c>
      <c r="R47" s="244">
        <v>11</v>
      </c>
      <c r="S47" s="245">
        <f>R47/R16</f>
        <v>0.22</v>
      </c>
      <c r="T47" s="244"/>
      <c r="U47" s="418">
        <f>T47/T16</f>
        <v>0</v>
      </c>
      <c r="V47" s="231"/>
      <c r="W47" s="604">
        <f>AVERAGE(N47,L47,R47,T47,P47)</f>
        <v>11.75</v>
      </c>
      <c r="X47" s="605">
        <f>AVERAGE(O47,M47,S47,U47,Q47)</f>
        <v>0.16492697572252119</v>
      </c>
    </row>
    <row r="48" spans="1:27" ht="15" customHeight="1" thickBot="1" x14ac:dyDescent="0.25">
      <c r="A48" s="248" t="s">
        <v>67</v>
      </c>
      <c r="B48" s="249"/>
      <c r="C48" s="250">
        <f>B48/B17</f>
        <v>0</v>
      </c>
      <c r="D48" s="249"/>
      <c r="E48" s="250">
        <f>D48/D17</f>
        <v>0</v>
      </c>
      <c r="F48" s="792"/>
      <c r="G48" s="872"/>
      <c r="H48" s="249">
        <v>16</v>
      </c>
      <c r="I48" s="250">
        <f>H48/H17</f>
        <v>0.76190476190476186</v>
      </c>
      <c r="J48" s="249">
        <v>18</v>
      </c>
      <c r="K48" s="250">
        <f>J48/J17</f>
        <v>0.81818181818181823</v>
      </c>
      <c r="L48" s="249">
        <v>22</v>
      </c>
      <c r="M48" s="250">
        <f>L48/L17</f>
        <v>0.7857142857142857</v>
      </c>
      <c r="N48" s="249">
        <v>21</v>
      </c>
      <c r="O48" s="250">
        <f>N48/N17</f>
        <v>0.875</v>
      </c>
      <c r="P48" s="249">
        <v>21</v>
      </c>
      <c r="Q48" s="250">
        <f>P48/P17</f>
        <v>0.84</v>
      </c>
      <c r="R48" s="249">
        <v>24</v>
      </c>
      <c r="S48" s="250">
        <f>R48/R17</f>
        <v>0.82758620689655171</v>
      </c>
      <c r="T48" s="249"/>
      <c r="U48" s="251">
        <f>T48/T17</f>
        <v>0</v>
      </c>
      <c r="V48" s="231"/>
      <c r="W48" s="252">
        <f>AVERAGE(N48,L48,R48,T48,P48)</f>
        <v>22</v>
      </c>
      <c r="X48" s="253">
        <f>AVERAGE(O48,M48,S48,U48,Q48)</f>
        <v>0.66566009852216745</v>
      </c>
    </row>
    <row r="49" spans="1:24" s="66" customFormat="1" ht="15" customHeight="1" thickTop="1" x14ac:dyDescent="0.2">
      <c r="A49" s="27" t="s">
        <v>175</v>
      </c>
      <c r="B49" s="28"/>
      <c r="C49" s="29"/>
      <c r="D49" s="28"/>
      <c r="E49" s="29"/>
      <c r="F49" s="28"/>
      <c r="G49" s="29"/>
      <c r="H49" s="28"/>
      <c r="I49" s="29"/>
      <c r="J49" s="28"/>
      <c r="K49" s="29"/>
      <c r="L49" s="28"/>
      <c r="M49" s="29"/>
      <c r="N49" s="28"/>
      <c r="O49" s="29"/>
      <c r="P49" s="28"/>
      <c r="Q49" s="29"/>
      <c r="R49" s="28"/>
      <c r="S49" s="29"/>
      <c r="T49" s="28"/>
      <c r="U49" s="29"/>
      <c r="W49" s="30"/>
      <c r="X49" s="31"/>
    </row>
    <row r="50" spans="1:24" s="1" customFormat="1" ht="15" customHeight="1" thickBot="1" x14ac:dyDescent="0.25">
      <c r="A50" s="310"/>
      <c r="B50" s="311"/>
      <c r="C50" s="429"/>
      <c r="D50" s="311"/>
      <c r="E50" s="429"/>
      <c r="F50" s="311"/>
      <c r="G50" s="429"/>
      <c r="H50" s="311"/>
      <c r="I50" s="429"/>
      <c r="J50" s="311"/>
      <c r="K50" s="429"/>
      <c r="L50" s="311"/>
      <c r="M50" s="429"/>
      <c r="N50" s="311"/>
      <c r="O50" s="429"/>
      <c r="P50" s="311"/>
      <c r="Q50" s="429"/>
      <c r="R50" s="311"/>
      <c r="S50" s="429"/>
      <c r="T50" s="311"/>
      <c r="U50" s="429"/>
      <c r="V50" s="182"/>
      <c r="W50" s="182"/>
      <c r="X50" s="430"/>
    </row>
    <row r="51" spans="1:24" s="1" customFormat="1" ht="18.75" customHeight="1" thickTop="1" thickBot="1" x14ac:dyDescent="0.25">
      <c r="A51" s="214" t="s">
        <v>161</v>
      </c>
      <c r="B51" s="955" t="s">
        <v>28</v>
      </c>
      <c r="C51" s="966"/>
      <c r="D51" s="955" t="s">
        <v>29</v>
      </c>
      <c r="E51" s="956"/>
      <c r="F51" s="955" t="s">
        <v>30</v>
      </c>
      <c r="G51" s="956"/>
      <c r="H51" s="955" t="s">
        <v>31</v>
      </c>
      <c r="I51" s="956"/>
      <c r="J51" s="955" t="s">
        <v>32</v>
      </c>
      <c r="K51" s="956"/>
      <c r="L51" s="955" t="s">
        <v>33</v>
      </c>
      <c r="M51" s="956"/>
      <c r="N51" s="955" t="s">
        <v>34</v>
      </c>
      <c r="O51" s="956"/>
      <c r="P51" s="955" t="s">
        <v>35</v>
      </c>
      <c r="Q51" s="956"/>
      <c r="R51" s="955" t="s">
        <v>36</v>
      </c>
      <c r="S51" s="956"/>
      <c r="T51" s="955" t="s">
        <v>187</v>
      </c>
      <c r="U51" s="963"/>
      <c r="V51" s="182"/>
      <c r="W51" s="961" t="s">
        <v>9</v>
      </c>
      <c r="X51" s="962"/>
    </row>
    <row r="52" spans="1:24" s="1" customFormat="1" ht="24" x14ac:dyDescent="0.2">
      <c r="A52" s="504" t="s">
        <v>167</v>
      </c>
      <c r="B52" s="505"/>
      <c r="C52" s="506"/>
      <c r="D52" s="505"/>
      <c r="E52" s="507"/>
      <c r="F52" s="505"/>
      <c r="G52" s="507"/>
      <c r="H52" s="505"/>
      <c r="I52" s="507"/>
      <c r="J52" s="505"/>
      <c r="K52" s="507"/>
      <c r="L52" s="505"/>
      <c r="M52" s="507"/>
      <c r="N52" s="505"/>
      <c r="O52" s="507"/>
      <c r="P52" s="505"/>
      <c r="Q52" s="507"/>
      <c r="R52" s="505"/>
      <c r="S52" s="507"/>
      <c r="T52" s="505"/>
      <c r="U52" s="508"/>
      <c r="V52" s="509"/>
      <c r="W52" s="812"/>
      <c r="X52" s="813"/>
    </row>
    <row r="53" spans="1:24" s="683" customFormat="1" ht="12" x14ac:dyDescent="0.2">
      <c r="A53" s="685" t="s">
        <v>140</v>
      </c>
      <c r="B53" s="678"/>
      <c r="C53" s="679">
        <v>17</v>
      </c>
      <c r="D53" s="678"/>
      <c r="E53" s="679">
        <v>17</v>
      </c>
      <c r="F53" s="678"/>
      <c r="G53" s="679">
        <v>18</v>
      </c>
      <c r="H53" s="678"/>
      <c r="I53" s="679">
        <v>16</v>
      </c>
      <c r="J53" s="678"/>
      <c r="K53" s="679">
        <v>17</v>
      </c>
      <c r="L53" s="678"/>
      <c r="M53" s="679">
        <v>17</v>
      </c>
      <c r="N53" s="678"/>
      <c r="O53" s="679">
        <v>17</v>
      </c>
      <c r="P53" s="678"/>
      <c r="Q53" s="679">
        <v>19</v>
      </c>
      <c r="R53" s="678"/>
      <c r="S53" s="679">
        <v>14</v>
      </c>
      <c r="T53" s="680"/>
      <c r="U53" s="681"/>
      <c r="V53" s="682"/>
      <c r="W53" s="573"/>
      <c r="X53" s="297">
        <f>AVERAGE(O53,M53,S53,U53,Q53)</f>
        <v>16.75</v>
      </c>
    </row>
    <row r="54" spans="1:24" s="683" customFormat="1" ht="24" x14ac:dyDescent="0.2">
      <c r="A54" s="685" t="s">
        <v>142</v>
      </c>
      <c r="B54" s="680"/>
      <c r="C54" s="684">
        <v>16</v>
      </c>
      <c r="D54" s="680"/>
      <c r="E54" s="684">
        <v>17</v>
      </c>
      <c r="F54" s="680"/>
      <c r="G54" s="684">
        <v>17</v>
      </c>
      <c r="H54" s="680"/>
      <c r="I54" s="684">
        <v>16</v>
      </c>
      <c r="J54" s="680"/>
      <c r="K54" s="684">
        <v>17</v>
      </c>
      <c r="L54" s="680"/>
      <c r="M54" s="684">
        <v>17</v>
      </c>
      <c r="N54" s="680"/>
      <c r="O54" s="684">
        <v>17</v>
      </c>
      <c r="P54" s="680"/>
      <c r="Q54" s="684">
        <v>19</v>
      </c>
      <c r="R54" s="680"/>
      <c r="S54" s="684">
        <v>14</v>
      </c>
      <c r="T54" s="680"/>
      <c r="U54" s="681"/>
      <c r="V54" s="682"/>
      <c r="W54" s="574"/>
      <c r="X54" s="575">
        <f>AVERAGE(O54,M54,S54,U54,Q54)</f>
        <v>16.75</v>
      </c>
    </row>
    <row r="55" spans="1:24" s="1" customFormat="1" ht="15" customHeight="1" thickBot="1" x14ac:dyDescent="0.25">
      <c r="A55" s="581" t="s">
        <v>141</v>
      </c>
      <c r="B55" s="582"/>
      <c r="C55" s="583">
        <v>15.36</v>
      </c>
      <c r="D55" s="582"/>
      <c r="E55" s="583">
        <v>15.57</v>
      </c>
      <c r="F55" s="582"/>
      <c r="G55" s="583">
        <v>16.57</v>
      </c>
      <c r="H55" s="582"/>
      <c r="I55" s="583">
        <v>14.48</v>
      </c>
      <c r="J55" s="582"/>
      <c r="K55" s="583">
        <v>14.98</v>
      </c>
      <c r="L55" s="582"/>
      <c r="M55" s="583">
        <v>13.88</v>
      </c>
      <c r="N55" s="582"/>
      <c r="O55" s="583">
        <v>14.28</v>
      </c>
      <c r="P55" s="582"/>
      <c r="Q55" s="583">
        <v>16</v>
      </c>
      <c r="R55" s="582"/>
      <c r="S55" s="583">
        <f>11.15+0.4</f>
        <v>11.55</v>
      </c>
      <c r="T55" s="584"/>
      <c r="U55" s="423"/>
      <c r="V55" s="182"/>
      <c r="W55" s="814"/>
      <c r="X55" s="815">
        <f>AVERAGE(O55,M55,S55,U55,Q55)</f>
        <v>13.9275</v>
      </c>
    </row>
    <row r="56" spans="1:24" s="1" customFormat="1" ht="18" customHeight="1" thickBot="1" x14ac:dyDescent="0.25">
      <c r="A56" s="532" t="s">
        <v>172</v>
      </c>
      <c r="B56" s="522" t="s">
        <v>38</v>
      </c>
      <c r="C56" s="523" t="s">
        <v>39</v>
      </c>
      <c r="D56" s="542" t="s">
        <v>38</v>
      </c>
      <c r="E56" s="541" t="s">
        <v>39</v>
      </c>
      <c r="F56" s="542" t="s">
        <v>38</v>
      </c>
      <c r="G56" s="541" t="s">
        <v>39</v>
      </c>
      <c r="H56" s="542" t="s">
        <v>38</v>
      </c>
      <c r="I56" s="541" t="s">
        <v>39</v>
      </c>
      <c r="J56" s="542" t="s">
        <v>38</v>
      </c>
      <c r="K56" s="541" t="s">
        <v>39</v>
      </c>
      <c r="L56" s="542" t="s">
        <v>38</v>
      </c>
      <c r="M56" s="541" t="s">
        <v>39</v>
      </c>
      <c r="N56" s="542" t="s">
        <v>38</v>
      </c>
      <c r="O56" s="541" t="s">
        <v>39</v>
      </c>
      <c r="P56" s="542" t="s">
        <v>38</v>
      </c>
      <c r="Q56" s="541" t="s">
        <v>39</v>
      </c>
      <c r="R56" s="542" t="s">
        <v>38</v>
      </c>
      <c r="S56" s="541" t="s">
        <v>39</v>
      </c>
      <c r="T56" s="542" t="s">
        <v>38</v>
      </c>
      <c r="U56" s="543" t="s">
        <v>39</v>
      </c>
      <c r="V56" s="182"/>
      <c r="W56" s="590" t="s">
        <v>38</v>
      </c>
      <c r="X56" s="483" t="s">
        <v>188</v>
      </c>
    </row>
    <row r="57" spans="1:24" s="1" customFormat="1" ht="15" customHeight="1" x14ac:dyDescent="0.2">
      <c r="A57" s="530" t="s">
        <v>40</v>
      </c>
      <c r="B57" s="520"/>
      <c r="C57" s="521"/>
      <c r="D57" s="546"/>
      <c r="E57" s="547"/>
      <c r="F57" s="552"/>
      <c r="G57" s="547"/>
      <c r="H57" s="552"/>
      <c r="I57" s="547"/>
      <c r="J57" s="552"/>
      <c r="K57" s="547"/>
      <c r="L57" s="552"/>
      <c r="M57" s="547"/>
      <c r="N57" s="552"/>
      <c r="O57" s="547"/>
      <c r="P57" s="552"/>
      <c r="Q57" s="547"/>
      <c r="R57" s="552"/>
      <c r="S57" s="547"/>
      <c r="T57" s="552"/>
      <c r="U57" s="561"/>
      <c r="V57" s="182"/>
      <c r="W57" s="566"/>
      <c r="X57" s="806"/>
    </row>
    <row r="58" spans="1:24" s="1" customFormat="1" ht="15" customHeight="1" x14ac:dyDescent="0.2">
      <c r="A58" s="652" t="s">
        <v>41</v>
      </c>
      <c r="B58" s="426"/>
      <c r="C58" s="93">
        <v>17</v>
      </c>
      <c r="D58" s="128"/>
      <c r="E58" s="655">
        <v>17</v>
      </c>
      <c r="F58" s="128"/>
      <c r="G58" s="548">
        <v>18</v>
      </c>
      <c r="H58" s="128"/>
      <c r="I58" s="548">
        <v>16</v>
      </c>
      <c r="J58" s="557">
        <v>17</v>
      </c>
      <c r="K58" s="548">
        <v>17</v>
      </c>
      <c r="L58" s="557">
        <v>18</v>
      </c>
      <c r="M58" s="548">
        <v>18</v>
      </c>
      <c r="N58" s="557">
        <v>18</v>
      </c>
      <c r="O58" s="548">
        <v>18</v>
      </c>
      <c r="P58" s="557">
        <v>21</v>
      </c>
      <c r="Q58" s="548">
        <v>21</v>
      </c>
      <c r="R58" s="557">
        <v>15</v>
      </c>
      <c r="S58" s="548">
        <v>15</v>
      </c>
      <c r="T58" s="557"/>
      <c r="U58" s="562"/>
      <c r="V58" s="182"/>
      <c r="W58" s="807">
        <f>AVERAGE(N58,L58,R58,T58,P58)</f>
        <v>18</v>
      </c>
      <c r="X58" s="808">
        <f>AVERAGE(O58,M58,S58,U58,Q58)</f>
        <v>18</v>
      </c>
    </row>
    <row r="59" spans="1:24" s="1" customFormat="1" ht="15" customHeight="1" x14ac:dyDescent="0.2">
      <c r="A59" s="652" t="s">
        <v>42</v>
      </c>
      <c r="B59" s="426"/>
      <c r="C59" s="93">
        <v>3</v>
      </c>
      <c r="D59" s="128"/>
      <c r="E59" s="548">
        <v>4</v>
      </c>
      <c r="F59" s="128"/>
      <c r="G59" s="548">
        <v>3</v>
      </c>
      <c r="H59" s="128"/>
      <c r="I59" s="548">
        <v>3</v>
      </c>
      <c r="J59" s="553">
        <v>1.25</v>
      </c>
      <c r="K59" s="548">
        <v>3</v>
      </c>
      <c r="L59" s="654">
        <v>1</v>
      </c>
      <c r="M59" s="548">
        <v>2</v>
      </c>
      <c r="N59" s="553">
        <v>0.5</v>
      </c>
      <c r="O59" s="548">
        <v>1</v>
      </c>
      <c r="P59" s="553">
        <v>0.5</v>
      </c>
      <c r="Q59" s="548">
        <v>1</v>
      </c>
      <c r="R59" s="553">
        <v>2.1</v>
      </c>
      <c r="S59" s="548">
        <v>4</v>
      </c>
      <c r="T59" s="553"/>
      <c r="U59" s="562"/>
      <c r="V59" s="182"/>
      <c r="W59" s="807">
        <f t="shared" ref="W59:X62" si="18">AVERAGE(N59,L59,R59,T59,P59)</f>
        <v>1.0249999999999999</v>
      </c>
      <c r="X59" s="808">
        <f t="shared" si="18"/>
        <v>2</v>
      </c>
    </row>
    <row r="60" spans="1:24" s="1" customFormat="1" ht="15" customHeight="1" x14ac:dyDescent="0.2">
      <c r="A60" s="531" t="s">
        <v>43</v>
      </c>
      <c r="B60" s="95"/>
      <c r="C60" s="295"/>
      <c r="D60" s="549"/>
      <c r="E60" s="550"/>
      <c r="F60" s="553"/>
      <c r="G60" s="550"/>
      <c r="H60" s="553"/>
      <c r="I60" s="550"/>
      <c r="J60" s="553"/>
      <c r="K60" s="550"/>
      <c r="L60" s="553"/>
      <c r="M60" s="550"/>
      <c r="N60" s="553"/>
      <c r="O60" s="550"/>
      <c r="P60" s="553"/>
      <c r="Q60" s="550"/>
      <c r="R60" s="553"/>
      <c r="S60" s="550"/>
      <c r="T60" s="553"/>
      <c r="U60" s="563"/>
      <c r="V60" s="182"/>
      <c r="W60" s="807"/>
      <c r="X60" s="808"/>
    </row>
    <row r="61" spans="1:24" s="1" customFormat="1" ht="15" customHeight="1" x14ac:dyDescent="0.2">
      <c r="A61" s="652" t="s">
        <v>41</v>
      </c>
      <c r="B61" s="426"/>
      <c r="C61" s="295">
        <v>0</v>
      </c>
      <c r="D61" s="128"/>
      <c r="E61" s="550">
        <v>0</v>
      </c>
      <c r="F61" s="128"/>
      <c r="G61" s="550">
        <v>0</v>
      </c>
      <c r="H61" s="128"/>
      <c r="I61" s="550">
        <v>1</v>
      </c>
      <c r="J61" s="557">
        <v>1</v>
      </c>
      <c r="K61" s="550">
        <v>1</v>
      </c>
      <c r="L61" s="557">
        <v>0</v>
      </c>
      <c r="M61" s="550">
        <v>0</v>
      </c>
      <c r="N61" s="557">
        <v>0</v>
      </c>
      <c r="O61" s="550">
        <v>0</v>
      </c>
      <c r="P61" s="557">
        <v>0</v>
      </c>
      <c r="Q61" s="550">
        <v>0</v>
      </c>
      <c r="R61" s="557">
        <v>2</v>
      </c>
      <c r="S61" s="550">
        <v>2</v>
      </c>
      <c r="T61" s="557"/>
      <c r="U61" s="563"/>
      <c r="V61" s="182"/>
      <c r="W61" s="807">
        <f t="shared" si="18"/>
        <v>0.5</v>
      </c>
      <c r="X61" s="808">
        <f t="shared" si="18"/>
        <v>0.5</v>
      </c>
    </row>
    <row r="62" spans="1:24" s="1" customFormat="1" ht="15" customHeight="1" thickBot="1" x14ac:dyDescent="0.25">
      <c r="A62" s="653" t="s">
        <v>42</v>
      </c>
      <c r="B62" s="467"/>
      <c r="C62" s="535">
        <v>0</v>
      </c>
      <c r="D62" s="469"/>
      <c r="E62" s="551">
        <v>0</v>
      </c>
      <c r="F62" s="469"/>
      <c r="G62" s="551">
        <v>0</v>
      </c>
      <c r="H62" s="469"/>
      <c r="I62" s="551">
        <v>0</v>
      </c>
      <c r="J62" s="558">
        <v>0</v>
      </c>
      <c r="K62" s="551">
        <v>0</v>
      </c>
      <c r="L62" s="558">
        <v>0</v>
      </c>
      <c r="M62" s="551">
        <v>0</v>
      </c>
      <c r="N62" s="558">
        <v>0</v>
      </c>
      <c r="O62" s="551">
        <v>0</v>
      </c>
      <c r="P62" s="558">
        <v>0</v>
      </c>
      <c r="Q62" s="551">
        <v>0</v>
      </c>
      <c r="R62" s="558">
        <v>0</v>
      </c>
      <c r="S62" s="551">
        <v>0</v>
      </c>
      <c r="T62" s="558"/>
      <c r="U62" s="564"/>
      <c r="V62" s="182"/>
      <c r="W62" s="807">
        <f t="shared" si="18"/>
        <v>0</v>
      </c>
      <c r="X62" s="808">
        <f t="shared" si="18"/>
        <v>0</v>
      </c>
    </row>
    <row r="63" spans="1:24" s="1" customFormat="1" ht="15" customHeight="1" thickBot="1" x14ac:dyDescent="0.25">
      <c r="A63" s="536" t="s">
        <v>26</v>
      </c>
      <c r="B63" s="537"/>
      <c r="C63" s="538">
        <f>SUM(C58:C62)</f>
        <v>20</v>
      </c>
      <c r="D63" s="556"/>
      <c r="E63" s="555">
        <f>SUM(E58:E62)</f>
        <v>21</v>
      </c>
      <c r="F63" s="554"/>
      <c r="G63" s="555">
        <f>SUM(G58:G62)</f>
        <v>21</v>
      </c>
      <c r="H63" s="554"/>
      <c r="I63" s="555">
        <f>SUM(I58:I62)</f>
        <v>20</v>
      </c>
      <c r="J63" s="559">
        <f t="shared" ref="J63:S63" si="19">SUM(J58:J62)</f>
        <v>19.25</v>
      </c>
      <c r="K63" s="555">
        <f t="shared" si="19"/>
        <v>21</v>
      </c>
      <c r="L63" s="559">
        <f t="shared" si="19"/>
        <v>19</v>
      </c>
      <c r="M63" s="555">
        <f t="shared" si="19"/>
        <v>20</v>
      </c>
      <c r="N63" s="559">
        <f t="shared" si="19"/>
        <v>18.5</v>
      </c>
      <c r="O63" s="555">
        <f t="shared" si="19"/>
        <v>19</v>
      </c>
      <c r="P63" s="559">
        <f t="shared" si="19"/>
        <v>21.5</v>
      </c>
      <c r="Q63" s="555">
        <f t="shared" si="19"/>
        <v>22</v>
      </c>
      <c r="R63" s="559">
        <f t="shared" si="19"/>
        <v>19.100000000000001</v>
      </c>
      <c r="S63" s="555">
        <f t="shared" si="19"/>
        <v>21</v>
      </c>
      <c r="T63" s="559">
        <f t="shared" ref="T63:U63" si="20">SUM(T58:T62)</f>
        <v>0</v>
      </c>
      <c r="U63" s="565">
        <f t="shared" si="20"/>
        <v>0</v>
      </c>
      <c r="V63" s="182"/>
      <c r="W63" s="809">
        <f>AVERAGE(N63,L63,R63,T63,P63)</f>
        <v>15.62</v>
      </c>
      <c r="X63" s="810">
        <f>AVERAGE(O63,M63,S63,U63,Q63)</f>
        <v>16.399999999999999</v>
      </c>
    </row>
    <row r="64" spans="1:24" s="1" customFormat="1" ht="18" customHeight="1" thickBot="1" x14ac:dyDescent="0.25">
      <c r="A64" s="532" t="s">
        <v>171</v>
      </c>
      <c r="B64" s="539" t="s">
        <v>37</v>
      </c>
      <c r="C64" s="540" t="s">
        <v>44</v>
      </c>
      <c r="D64" s="539" t="s">
        <v>37</v>
      </c>
      <c r="E64" s="541" t="s">
        <v>44</v>
      </c>
      <c r="F64" s="542" t="s">
        <v>37</v>
      </c>
      <c r="G64" s="541" t="s">
        <v>44</v>
      </c>
      <c r="H64" s="542" t="s">
        <v>37</v>
      </c>
      <c r="I64" s="541" t="s">
        <v>44</v>
      </c>
      <c r="J64" s="542" t="s">
        <v>37</v>
      </c>
      <c r="K64" s="541" t="s">
        <v>44</v>
      </c>
      <c r="L64" s="542" t="s">
        <v>37</v>
      </c>
      <c r="M64" s="541" t="s">
        <v>44</v>
      </c>
      <c r="N64" s="542" t="s">
        <v>37</v>
      </c>
      <c r="O64" s="541" t="s">
        <v>44</v>
      </c>
      <c r="P64" s="542" t="s">
        <v>37</v>
      </c>
      <c r="Q64" s="541" t="s">
        <v>44</v>
      </c>
      <c r="R64" s="542" t="s">
        <v>37</v>
      </c>
      <c r="S64" s="541" t="s">
        <v>44</v>
      </c>
      <c r="T64" s="542" t="s">
        <v>37</v>
      </c>
      <c r="U64" s="543" t="s">
        <v>44</v>
      </c>
      <c r="V64" s="182"/>
      <c r="W64" s="482" t="s">
        <v>37</v>
      </c>
      <c r="X64" s="543" t="s">
        <v>44</v>
      </c>
    </row>
    <row r="65" spans="1:24" s="1" customFormat="1" ht="18" customHeight="1" x14ac:dyDescent="0.2">
      <c r="A65" s="530" t="s">
        <v>164</v>
      </c>
      <c r="B65" s="528"/>
      <c r="C65" s="183"/>
      <c r="D65" s="528"/>
      <c r="E65" s="184"/>
      <c r="F65" s="529"/>
      <c r="G65" s="184"/>
      <c r="H65" s="529"/>
      <c r="I65" s="184"/>
      <c r="J65" s="529"/>
      <c r="K65" s="184"/>
      <c r="L65" s="529"/>
      <c r="M65" s="184"/>
      <c r="N65" s="529"/>
      <c r="O65" s="184"/>
      <c r="P65" s="529"/>
      <c r="Q65" s="184"/>
      <c r="R65" s="529"/>
      <c r="S65" s="184"/>
      <c r="T65" s="529"/>
      <c r="U65" s="185"/>
      <c r="V65" s="182"/>
      <c r="W65" s="480"/>
      <c r="X65" s="602"/>
    </row>
    <row r="66" spans="1:24" s="1" customFormat="1" ht="15" customHeight="1" x14ac:dyDescent="0.2">
      <c r="A66" s="186" t="s">
        <v>45</v>
      </c>
      <c r="B66" s="187">
        <v>16</v>
      </c>
      <c r="C66" s="188">
        <f t="shared" ref="C66:C73" si="21">B66/C$63</f>
        <v>0.8</v>
      </c>
      <c r="D66" s="187">
        <v>19</v>
      </c>
      <c r="E66" s="189">
        <f t="shared" ref="E66:K73" si="22">D66/E$63</f>
        <v>0.90476190476190477</v>
      </c>
      <c r="F66" s="190">
        <v>17</v>
      </c>
      <c r="G66" s="189">
        <f t="shared" si="22"/>
        <v>0.80952380952380953</v>
      </c>
      <c r="H66" s="190">
        <v>16</v>
      </c>
      <c r="I66" s="189">
        <f t="shared" ref="I66:I73" si="23">H66/I$63</f>
        <v>0.8</v>
      </c>
      <c r="J66" s="190">
        <f>3+14</f>
        <v>17</v>
      </c>
      <c r="K66" s="189">
        <f t="shared" si="22"/>
        <v>0.80952380952380953</v>
      </c>
      <c r="L66" s="190">
        <v>15</v>
      </c>
      <c r="M66" s="189">
        <f t="shared" ref="M66:M71" si="24">L66/M$63</f>
        <v>0.75</v>
      </c>
      <c r="N66" s="190">
        <v>14</v>
      </c>
      <c r="O66" s="189">
        <f t="shared" ref="O66:Q71" si="25">N66/O$63</f>
        <v>0.73684210526315785</v>
      </c>
      <c r="P66" s="190">
        <v>16</v>
      </c>
      <c r="Q66" s="189">
        <f t="shared" si="25"/>
        <v>0.72727272727272729</v>
      </c>
      <c r="R66" s="190">
        <v>15</v>
      </c>
      <c r="S66" s="189">
        <f t="shared" ref="S66:S71" si="26">R66/S$63</f>
        <v>0.7142857142857143</v>
      </c>
      <c r="T66" s="190"/>
      <c r="U66" s="191" t="e">
        <f t="shared" ref="U66:U71" si="27">T66/U$63</f>
        <v>#DIV/0!</v>
      </c>
      <c r="V66" s="192"/>
      <c r="W66" s="807">
        <f t="shared" ref="W66:W85" si="28">AVERAGE(N66,L66,R66,T66,P66)</f>
        <v>15</v>
      </c>
      <c r="X66" s="193" t="e">
        <f>AVERAGE(O66,M66,U66,S66,Q66)</f>
        <v>#DIV/0!</v>
      </c>
    </row>
    <row r="67" spans="1:24" s="1" customFormat="1" ht="15" customHeight="1" x14ac:dyDescent="0.2">
      <c r="A67" s="194" t="s">
        <v>46</v>
      </c>
      <c r="B67" s="187">
        <v>0</v>
      </c>
      <c r="C67" s="188">
        <f t="shared" si="21"/>
        <v>0</v>
      </c>
      <c r="D67" s="187">
        <v>0</v>
      </c>
      <c r="E67" s="189">
        <f t="shared" si="22"/>
        <v>0</v>
      </c>
      <c r="F67" s="190">
        <v>0</v>
      </c>
      <c r="G67" s="189">
        <f t="shared" si="22"/>
        <v>0</v>
      </c>
      <c r="H67" s="190">
        <v>0</v>
      </c>
      <c r="I67" s="189">
        <f t="shared" si="23"/>
        <v>0</v>
      </c>
      <c r="J67" s="190">
        <f>0</f>
        <v>0</v>
      </c>
      <c r="K67" s="189">
        <f t="shared" si="22"/>
        <v>0</v>
      </c>
      <c r="L67" s="190">
        <v>0</v>
      </c>
      <c r="M67" s="189">
        <f t="shared" si="24"/>
        <v>0</v>
      </c>
      <c r="N67" s="190">
        <v>0</v>
      </c>
      <c r="O67" s="189">
        <f t="shared" si="25"/>
        <v>0</v>
      </c>
      <c r="P67" s="190">
        <v>0</v>
      </c>
      <c r="Q67" s="189">
        <f t="shared" si="25"/>
        <v>0</v>
      </c>
      <c r="R67" s="190">
        <v>0</v>
      </c>
      <c r="S67" s="189">
        <f t="shared" si="26"/>
        <v>0</v>
      </c>
      <c r="T67" s="190"/>
      <c r="U67" s="191" t="e">
        <f t="shared" si="27"/>
        <v>#DIV/0!</v>
      </c>
      <c r="V67" s="192"/>
      <c r="W67" s="807">
        <f t="shared" si="28"/>
        <v>0</v>
      </c>
      <c r="X67" s="193" t="e">
        <f t="shared" ref="X67:X85" si="29">AVERAGE(O67,M67,U67,S67,Q67)</f>
        <v>#DIV/0!</v>
      </c>
    </row>
    <row r="68" spans="1:24" s="1" customFormat="1" ht="15" customHeight="1" x14ac:dyDescent="0.2">
      <c r="A68" s="194" t="s">
        <v>47</v>
      </c>
      <c r="B68" s="187">
        <v>0</v>
      </c>
      <c r="C68" s="188">
        <f t="shared" si="21"/>
        <v>0</v>
      </c>
      <c r="D68" s="187">
        <v>0</v>
      </c>
      <c r="E68" s="189">
        <f t="shared" si="22"/>
        <v>0</v>
      </c>
      <c r="F68" s="190">
        <v>0</v>
      </c>
      <c r="G68" s="189">
        <f t="shared" si="22"/>
        <v>0</v>
      </c>
      <c r="H68" s="190">
        <v>0</v>
      </c>
      <c r="I68" s="189">
        <f t="shared" si="23"/>
        <v>0</v>
      </c>
      <c r="J68" s="190">
        <f>0</f>
        <v>0</v>
      </c>
      <c r="K68" s="189">
        <f t="shared" si="22"/>
        <v>0</v>
      </c>
      <c r="L68" s="190">
        <v>0</v>
      </c>
      <c r="M68" s="189">
        <f t="shared" si="24"/>
        <v>0</v>
      </c>
      <c r="N68" s="190">
        <v>0</v>
      </c>
      <c r="O68" s="189">
        <f t="shared" si="25"/>
        <v>0</v>
      </c>
      <c r="P68" s="190">
        <v>0</v>
      </c>
      <c r="Q68" s="189">
        <f t="shared" si="25"/>
        <v>0</v>
      </c>
      <c r="R68" s="190">
        <v>0</v>
      </c>
      <c r="S68" s="189">
        <f t="shared" si="26"/>
        <v>0</v>
      </c>
      <c r="T68" s="190"/>
      <c r="U68" s="191" t="e">
        <f t="shared" si="27"/>
        <v>#DIV/0!</v>
      </c>
      <c r="V68" s="192"/>
      <c r="W68" s="807">
        <f t="shared" si="28"/>
        <v>0</v>
      </c>
      <c r="X68" s="193" t="e">
        <f t="shared" si="29"/>
        <v>#DIV/0!</v>
      </c>
    </row>
    <row r="69" spans="1:24" s="1" customFormat="1" ht="15" customHeight="1" x14ac:dyDescent="0.2">
      <c r="A69" s="194" t="s">
        <v>48</v>
      </c>
      <c r="B69" s="187">
        <v>0</v>
      </c>
      <c r="C69" s="188">
        <f t="shared" si="21"/>
        <v>0</v>
      </c>
      <c r="D69" s="187">
        <v>0</v>
      </c>
      <c r="E69" s="189">
        <f t="shared" si="22"/>
        <v>0</v>
      </c>
      <c r="F69" s="190">
        <v>0</v>
      </c>
      <c r="G69" s="189">
        <f t="shared" si="22"/>
        <v>0</v>
      </c>
      <c r="H69" s="190">
        <v>0</v>
      </c>
      <c r="I69" s="189">
        <f t="shared" si="23"/>
        <v>0</v>
      </c>
      <c r="J69" s="190">
        <f>0</f>
        <v>0</v>
      </c>
      <c r="K69" s="189">
        <f t="shared" si="22"/>
        <v>0</v>
      </c>
      <c r="L69" s="190">
        <v>0</v>
      </c>
      <c r="M69" s="189">
        <f t="shared" si="24"/>
        <v>0</v>
      </c>
      <c r="N69" s="190">
        <v>0</v>
      </c>
      <c r="O69" s="189">
        <f t="shared" si="25"/>
        <v>0</v>
      </c>
      <c r="P69" s="190">
        <v>0</v>
      </c>
      <c r="Q69" s="189">
        <f t="shared" si="25"/>
        <v>0</v>
      </c>
      <c r="R69" s="190">
        <v>0</v>
      </c>
      <c r="S69" s="189">
        <f t="shared" si="26"/>
        <v>0</v>
      </c>
      <c r="T69" s="190"/>
      <c r="U69" s="191" t="e">
        <f t="shared" si="27"/>
        <v>#DIV/0!</v>
      </c>
      <c r="V69" s="192"/>
      <c r="W69" s="807">
        <f t="shared" si="28"/>
        <v>0</v>
      </c>
      <c r="X69" s="193" t="e">
        <f t="shared" si="29"/>
        <v>#DIV/0!</v>
      </c>
    </row>
    <row r="70" spans="1:24" s="1" customFormat="1" ht="15" customHeight="1" x14ac:dyDescent="0.2">
      <c r="A70" s="194" t="s">
        <v>49</v>
      </c>
      <c r="B70" s="187">
        <v>4</v>
      </c>
      <c r="C70" s="188">
        <f t="shared" si="21"/>
        <v>0.2</v>
      </c>
      <c r="D70" s="187">
        <v>2</v>
      </c>
      <c r="E70" s="189">
        <f t="shared" si="22"/>
        <v>9.5238095238095233E-2</v>
      </c>
      <c r="F70" s="190">
        <v>4</v>
      </c>
      <c r="G70" s="189">
        <f t="shared" si="22"/>
        <v>0.19047619047619047</v>
      </c>
      <c r="H70" s="190">
        <v>4</v>
      </c>
      <c r="I70" s="189">
        <f t="shared" si="23"/>
        <v>0.2</v>
      </c>
      <c r="J70" s="190">
        <f>4</f>
        <v>4</v>
      </c>
      <c r="K70" s="189">
        <f t="shared" si="22"/>
        <v>0.19047619047619047</v>
      </c>
      <c r="L70" s="190">
        <v>4</v>
      </c>
      <c r="M70" s="189">
        <f t="shared" si="24"/>
        <v>0.2</v>
      </c>
      <c r="N70" s="190">
        <v>4</v>
      </c>
      <c r="O70" s="189">
        <f t="shared" si="25"/>
        <v>0.21052631578947367</v>
      </c>
      <c r="P70" s="190">
        <v>4</v>
      </c>
      <c r="Q70" s="189">
        <f t="shared" si="25"/>
        <v>0.18181818181818182</v>
      </c>
      <c r="R70" s="190">
        <v>5</v>
      </c>
      <c r="S70" s="189">
        <f t="shared" si="26"/>
        <v>0.23809523809523808</v>
      </c>
      <c r="T70" s="190"/>
      <c r="U70" s="191" t="e">
        <f t="shared" si="27"/>
        <v>#DIV/0!</v>
      </c>
      <c r="V70" s="192"/>
      <c r="W70" s="807">
        <f t="shared" si="28"/>
        <v>4.25</v>
      </c>
      <c r="X70" s="193" t="e">
        <f t="shared" si="29"/>
        <v>#DIV/0!</v>
      </c>
    </row>
    <row r="71" spans="1:24" s="1" customFormat="1" ht="15" customHeight="1" x14ac:dyDescent="0.2">
      <c r="A71" s="194" t="s">
        <v>50</v>
      </c>
      <c r="B71" s="187">
        <v>0</v>
      </c>
      <c r="C71" s="188">
        <f t="shared" si="21"/>
        <v>0</v>
      </c>
      <c r="D71" s="187">
        <v>0</v>
      </c>
      <c r="E71" s="189">
        <f t="shared" si="22"/>
        <v>0</v>
      </c>
      <c r="F71" s="190">
        <v>0</v>
      </c>
      <c r="G71" s="189">
        <f t="shared" si="22"/>
        <v>0</v>
      </c>
      <c r="H71" s="190">
        <v>0</v>
      </c>
      <c r="I71" s="189">
        <f t="shared" si="23"/>
        <v>0</v>
      </c>
      <c r="J71" s="190">
        <f>0</f>
        <v>0</v>
      </c>
      <c r="K71" s="189">
        <f t="shared" si="22"/>
        <v>0</v>
      </c>
      <c r="L71" s="190">
        <v>1</v>
      </c>
      <c r="M71" s="189">
        <f t="shared" si="24"/>
        <v>0.05</v>
      </c>
      <c r="N71" s="190">
        <v>1</v>
      </c>
      <c r="O71" s="189">
        <f t="shared" si="25"/>
        <v>5.2631578947368418E-2</v>
      </c>
      <c r="P71" s="190">
        <v>2</v>
      </c>
      <c r="Q71" s="189">
        <f t="shared" si="25"/>
        <v>9.0909090909090912E-2</v>
      </c>
      <c r="R71" s="190">
        <v>1</v>
      </c>
      <c r="S71" s="189">
        <f t="shared" si="26"/>
        <v>4.7619047619047616E-2</v>
      </c>
      <c r="T71" s="190"/>
      <c r="U71" s="191" t="e">
        <f t="shared" si="27"/>
        <v>#DIV/0!</v>
      </c>
      <c r="V71" s="192"/>
      <c r="W71" s="807">
        <f t="shared" si="28"/>
        <v>1.25</v>
      </c>
      <c r="X71" s="193" t="e">
        <f t="shared" si="29"/>
        <v>#DIV/0!</v>
      </c>
    </row>
    <row r="72" spans="1:24" s="1" customFormat="1" ht="15" customHeight="1" x14ac:dyDescent="0.2">
      <c r="A72" s="194" t="s">
        <v>51</v>
      </c>
      <c r="B72" s="195"/>
      <c r="C72" s="188"/>
      <c r="D72" s="195"/>
      <c r="E72" s="189"/>
      <c r="F72" s="196"/>
      <c r="G72" s="189"/>
      <c r="H72" s="196">
        <v>0</v>
      </c>
      <c r="I72" s="189">
        <f t="shared" si="23"/>
        <v>0</v>
      </c>
      <c r="J72" s="196">
        <f>0</f>
        <v>0</v>
      </c>
      <c r="K72" s="189">
        <f>J72/K$63</f>
        <v>0</v>
      </c>
      <c r="L72" s="196">
        <v>0</v>
      </c>
      <c r="M72" s="189">
        <f>L72/M$63</f>
        <v>0</v>
      </c>
      <c r="N72" s="196">
        <v>0</v>
      </c>
      <c r="O72" s="189">
        <f>N72/O$63</f>
        <v>0</v>
      </c>
      <c r="P72" s="196">
        <v>0</v>
      </c>
      <c r="Q72" s="189">
        <f>P72/Q$63</f>
        <v>0</v>
      </c>
      <c r="R72" s="196">
        <v>0</v>
      </c>
      <c r="S72" s="189">
        <f>R72/S$63</f>
        <v>0</v>
      </c>
      <c r="T72" s="190"/>
      <c r="U72" s="191" t="e">
        <f>T72/U$63</f>
        <v>#DIV/0!</v>
      </c>
      <c r="V72" s="192"/>
      <c r="W72" s="807">
        <f t="shared" si="28"/>
        <v>0</v>
      </c>
      <c r="X72" s="193" t="e">
        <f t="shared" si="29"/>
        <v>#DIV/0!</v>
      </c>
    </row>
    <row r="73" spans="1:24" s="1" customFormat="1" ht="15" customHeight="1" thickBot="1" x14ac:dyDescent="0.25">
      <c r="A73" s="194" t="s">
        <v>52</v>
      </c>
      <c r="B73" s="195">
        <v>0</v>
      </c>
      <c r="C73" s="627">
        <f t="shared" si="21"/>
        <v>0</v>
      </c>
      <c r="D73" s="195">
        <v>0</v>
      </c>
      <c r="E73" s="628">
        <f t="shared" si="22"/>
        <v>0</v>
      </c>
      <c r="F73" s="196">
        <v>0</v>
      </c>
      <c r="G73" s="628">
        <f t="shared" si="22"/>
        <v>0</v>
      </c>
      <c r="H73" s="196">
        <v>0</v>
      </c>
      <c r="I73" s="628">
        <f t="shared" si="23"/>
        <v>0</v>
      </c>
      <c r="J73" s="196">
        <f>0</f>
        <v>0</v>
      </c>
      <c r="K73" s="628">
        <f t="shared" si="22"/>
        <v>0</v>
      </c>
      <c r="L73" s="196">
        <v>0</v>
      </c>
      <c r="M73" s="628">
        <f>L73/M$63</f>
        <v>0</v>
      </c>
      <c r="N73" s="196">
        <v>0</v>
      </c>
      <c r="O73" s="628">
        <f>N73/O$63</f>
        <v>0</v>
      </c>
      <c r="P73" s="196">
        <v>0</v>
      </c>
      <c r="Q73" s="628">
        <f>P73/Q$63</f>
        <v>0</v>
      </c>
      <c r="R73" s="196">
        <v>0</v>
      </c>
      <c r="S73" s="628">
        <f>R73/S$63</f>
        <v>0</v>
      </c>
      <c r="T73" s="196"/>
      <c r="U73" s="629" t="e">
        <f>T73/U$63</f>
        <v>#DIV/0!</v>
      </c>
      <c r="V73" s="192"/>
      <c r="W73" s="807">
        <f t="shared" si="28"/>
        <v>0</v>
      </c>
      <c r="X73" s="193" t="e">
        <f t="shared" si="29"/>
        <v>#DIV/0!</v>
      </c>
    </row>
    <row r="74" spans="1:24" s="1" customFormat="1" ht="18" customHeight="1" x14ac:dyDescent="0.2">
      <c r="A74" s="603" t="s">
        <v>53</v>
      </c>
      <c r="B74" s="632"/>
      <c r="C74" s="633"/>
      <c r="D74" s="632"/>
      <c r="E74" s="634"/>
      <c r="F74" s="635"/>
      <c r="G74" s="634"/>
      <c r="H74" s="635"/>
      <c r="I74" s="634"/>
      <c r="J74" s="635"/>
      <c r="K74" s="634"/>
      <c r="L74" s="635"/>
      <c r="M74" s="634"/>
      <c r="N74" s="635"/>
      <c r="O74" s="634"/>
      <c r="P74" s="635"/>
      <c r="Q74" s="634"/>
      <c r="R74" s="635"/>
      <c r="S74" s="634"/>
      <c r="T74" s="635"/>
      <c r="U74" s="636"/>
      <c r="V74" s="192"/>
      <c r="W74" s="807"/>
      <c r="X74" s="193"/>
    </row>
    <row r="75" spans="1:24" s="1" customFormat="1" ht="15" customHeight="1" x14ac:dyDescent="0.2">
      <c r="A75" s="186" t="s">
        <v>54</v>
      </c>
      <c r="B75" s="202">
        <v>18</v>
      </c>
      <c r="C75" s="188">
        <f>B75/C$63</f>
        <v>0.9</v>
      </c>
      <c r="D75" s="202">
        <v>18</v>
      </c>
      <c r="E75" s="189">
        <f>D75/E$63</f>
        <v>0.8571428571428571</v>
      </c>
      <c r="F75" s="93">
        <v>17</v>
      </c>
      <c r="G75" s="189">
        <f>F75/G$63</f>
        <v>0.80952380952380953</v>
      </c>
      <c r="H75" s="93">
        <v>16</v>
      </c>
      <c r="I75" s="189">
        <f>H75/I$63</f>
        <v>0.8</v>
      </c>
      <c r="J75" s="93">
        <f>1+15</f>
        <v>16</v>
      </c>
      <c r="K75" s="189">
        <f>J75/K$63</f>
        <v>0.76190476190476186</v>
      </c>
      <c r="L75" s="93">
        <v>17</v>
      </c>
      <c r="M75" s="189">
        <f>L75/M$63</f>
        <v>0.85</v>
      </c>
      <c r="N75" s="93">
        <v>16</v>
      </c>
      <c r="O75" s="189">
        <f>N75/O$63</f>
        <v>0.84210526315789469</v>
      </c>
      <c r="P75" s="93">
        <v>19</v>
      </c>
      <c r="Q75" s="189">
        <f>P75/Q$63</f>
        <v>0.86363636363636365</v>
      </c>
      <c r="R75" s="93">
        <v>18</v>
      </c>
      <c r="S75" s="189">
        <f>R75/S$63</f>
        <v>0.8571428571428571</v>
      </c>
      <c r="T75" s="93"/>
      <c r="U75" s="191" t="e">
        <f>T75/U$63</f>
        <v>#DIV/0!</v>
      </c>
      <c r="V75" s="192"/>
      <c r="W75" s="807">
        <f t="shared" si="28"/>
        <v>17.5</v>
      </c>
      <c r="X75" s="193" t="e">
        <f t="shared" si="29"/>
        <v>#DIV/0!</v>
      </c>
    </row>
    <row r="76" spans="1:24" s="1" customFormat="1" ht="15" customHeight="1" thickBot="1" x14ac:dyDescent="0.25">
      <c r="A76" s="194" t="s">
        <v>55</v>
      </c>
      <c r="B76" s="630">
        <v>2</v>
      </c>
      <c r="C76" s="627">
        <f>B76/C$63</f>
        <v>0.1</v>
      </c>
      <c r="D76" s="630">
        <v>3</v>
      </c>
      <c r="E76" s="628">
        <f>D76/E$63</f>
        <v>0.14285714285714285</v>
      </c>
      <c r="F76" s="631">
        <v>4</v>
      </c>
      <c r="G76" s="628">
        <f>F76/G$63</f>
        <v>0.19047619047619047</v>
      </c>
      <c r="H76" s="631">
        <v>4</v>
      </c>
      <c r="I76" s="628">
        <f>H76/I$63</f>
        <v>0.2</v>
      </c>
      <c r="J76" s="631">
        <f>2+3</f>
        <v>5</v>
      </c>
      <c r="K76" s="628">
        <f>J76/K$63</f>
        <v>0.23809523809523808</v>
      </c>
      <c r="L76" s="631">
        <v>3</v>
      </c>
      <c r="M76" s="628">
        <f>L76/M$63</f>
        <v>0.15</v>
      </c>
      <c r="N76" s="631">
        <v>3</v>
      </c>
      <c r="O76" s="628">
        <f>N76/O$63</f>
        <v>0.15789473684210525</v>
      </c>
      <c r="P76" s="631">
        <v>3</v>
      </c>
      <c r="Q76" s="628">
        <f>P76/Q$63</f>
        <v>0.13636363636363635</v>
      </c>
      <c r="R76" s="631">
        <v>3</v>
      </c>
      <c r="S76" s="628">
        <f>R76/S$63</f>
        <v>0.14285714285714285</v>
      </c>
      <c r="T76" s="631"/>
      <c r="U76" s="629" t="e">
        <f>T76/U$63</f>
        <v>#DIV/0!</v>
      </c>
      <c r="V76" s="192"/>
      <c r="W76" s="807">
        <f t="shared" si="28"/>
        <v>3</v>
      </c>
      <c r="X76" s="193" t="e">
        <f t="shared" si="29"/>
        <v>#DIV/0!</v>
      </c>
    </row>
    <row r="77" spans="1:24" s="1" customFormat="1" ht="18" customHeight="1" x14ac:dyDescent="0.2">
      <c r="A77" s="603" t="s">
        <v>56</v>
      </c>
      <c r="B77" s="637"/>
      <c r="C77" s="638"/>
      <c r="D77" s="637"/>
      <c r="E77" s="639"/>
      <c r="F77" s="640"/>
      <c r="G77" s="639"/>
      <c r="H77" s="640"/>
      <c r="I77" s="639"/>
      <c r="J77" s="640"/>
      <c r="K77" s="639"/>
      <c r="L77" s="640"/>
      <c r="M77" s="639"/>
      <c r="N77" s="640"/>
      <c r="O77" s="639"/>
      <c r="P77" s="640"/>
      <c r="Q77" s="639"/>
      <c r="R77" s="640"/>
      <c r="S77" s="639"/>
      <c r="T77" s="640"/>
      <c r="U77" s="641"/>
      <c r="V77" s="192"/>
      <c r="W77" s="807"/>
      <c r="X77" s="193"/>
    </row>
    <row r="78" spans="1:24" s="1" customFormat="1" ht="15" customHeight="1" x14ac:dyDescent="0.2">
      <c r="A78" s="186" t="s">
        <v>57</v>
      </c>
      <c r="B78" s="203">
        <v>16</v>
      </c>
      <c r="C78" s="188">
        <f>B78/C$63</f>
        <v>0.8</v>
      </c>
      <c r="D78" s="203">
        <v>18</v>
      </c>
      <c r="E78" s="189">
        <f>D78/E$63</f>
        <v>0.8571428571428571</v>
      </c>
      <c r="F78" s="204">
        <v>18</v>
      </c>
      <c r="G78" s="189">
        <f>F78/G$63</f>
        <v>0.8571428571428571</v>
      </c>
      <c r="H78" s="204">
        <v>18</v>
      </c>
      <c r="I78" s="189">
        <f>H78/I$63</f>
        <v>0.9</v>
      </c>
      <c r="J78" s="204">
        <f>2+16</f>
        <v>18</v>
      </c>
      <c r="K78" s="189">
        <f>J78/K$63</f>
        <v>0.8571428571428571</v>
      </c>
      <c r="L78" s="204">
        <v>17</v>
      </c>
      <c r="M78" s="189">
        <f>L78/M$63</f>
        <v>0.85</v>
      </c>
      <c r="N78" s="204">
        <v>16</v>
      </c>
      <c r="O78" s="189">
        <f>N78/O$63</f>
        <v>0.84210526315789469</v>
      </c>
      <c r="P78" s="204">
        <v>17</v>
      </c>
      <c r="Q78" s="189">
        <f>P78/Q$63</f>
        <v>0.77272727272727271</v>
      </c>
      <c r="R78" s="204">
        <v>17</v>
      </c>
      <c r="S78" s="189">
        <f>R78/S$63</f>
        <v>0.80952380952380953</v>
      </c>
      <c r="T78" s="204"/>
      <c r="U78" s="191" t="e">
        <f>T78/U$63</f>
        <v>#DIV/0!</v>
      </c>
      <c r="V78" s="192"/>
      <c r="W78" s="807">
        <f t="shared" si="28"/>
        <v>16.75</v>
      </c>
      <c r="X78" s="193" t="e">
        <f t="shared" si="29"/>
        <v>#DIV/0!</v>
      </c>
    </row>
    <row r="79" spans="1:24" s="1" customFormat="1" ht="15" customHeight="1" x14ac:dyDescent="0.2">
      <c r="A79" s="186" t="s">
        <v>58</v>
      </c>
      <c r="B79" s="203">
        <v>3</v>
      </c>
      <c r="C79" s="188">
        <f>B79/C$63</f>
        <v>0.15</v>
      </c>
      <c r="D79" s="203">
        <v>2</v>
      </c>
      <c r="E79" s="189">
        <f>D79/E$63</f>
        <v>9.5238095238095233E-2</v>
      </c>
      <c r="F79" s="204">
        <v>2</v>
      </c>
      <c r="G79" s="189">
        <f>F79/G$63</f>
        <v>9.5238095238095233E-2</v>
      </c>
      <c r="H79" s="204">
        <v>0</v>
      </c>
      <c r="I79" s="189">
        <f>H79/I$63</f>
        <v>0</v>
      </c>
      <c r="J79" s="204">
        <f>1</f>
        <v>1</v>
      </c>
      <c r="K79" s="189">
        <f>J79/K$63</f>
        <v>4.7619047619047616E-2</v>
      </c>
      <c r="L79" s="204">
        <v>2</v>
      </c>
      <c r="M79" s="189">
        <f>L79/M$63</f>
        <v>0.1</v>
      </c>
      <c r="N79" s="204">
        <v>2</v>
      </c>
      <c r="O79" s="189">
        <f>N79/O$63</f>
        <v>0.10526315789473684</v>
      </c>
      <c r="P79" s="204">
        <v>3</v>
      </c>
      <c r="Q79" s="189">
        <f>P79/Q$63</f>
        <v>0.13636363636363635</v>
      </c>
      <c r="R79" s="204">
        <v>2</v>
      </c>
      <c r="S79" s="189">
        <f>R79/S$63</f>
        <v>9.5238095238095233E-2</v>
      </c>
      <c r="T79" s="204"/>
      <c r="U79" s="191" t="e">
        <f>T79/U$63</f>
        <v>#DIV/0!</v>
      </c>
      <c r="V79" s="192"/>
      <c r="W79" s="807">
        <f t="shared" si="28"/>
        <v>2.25</v>
      </c>
      <c r="X79" s="193" t="e">
        <f t="shared" si="29"/>
        <v>#DIV/0!</v>
      </c>
    </row>
    <row r="80" spans="1:24" s="1" customFormat="1" ht="15" customHeight="1" thickBot="1" x14ac:dyDescent="0.25">
      <c r="A80" s="194" t="s">
        <v>59</v>
      </c>
      <c r="B80" s="630">
        <v>1</v>
      </c>
      <c r="C80" s="627">
        <f>B80/C$63</f>
        <v>0.05</v>
      </c>
      <c r="D80" s="630">
        <v>1</v>
      </c>
      <c r="E80" s="628">
        <f>D80/E$63</f>
        <v>4.7619047619047616E-2</v>
      </c>
      <c r="F80" s="631">
        <v>1</v>
      </c>
      <c r="G80" s="628">
        <f>F80/G$63</f>
        <v>4.7619047619047616E-2</v>
      </c>
      <c r="H80" s="631">
        <v>2</v>
      </c>
      <c r="I80" s="628">
        <f>H80/I$63</f>
        <v>0.1</v>
      </c>
      <c r="J80" s="631">
        <f>1+1</f>
        <v>2</v>
      </c>
      <c r="K80" s="628">
        <f>J80/K$63</f>
        <v>9.5238095238095233E-2</v>
      </c>
      <c r="L80" s="631">
        <v>1</v>
      </c>
      <c r="M80" s="628">
        <f>L80/M$63</f>
        <v>0.05</v>
      </c>
      <c r="N80" s="631">
        <v>1</v>
      </c>
      <c r="O80" s="628">
        <f>N80/O$63</f>
        <v>5.2631578947368418E-2</v>
      </c>
      <c r="P80" s="631">
        <v>2</v>
      </c>
      <c r="Q80" s="628">
        <f>P80/Q$63</f>
        <v>9.0909090909090912E-2</v>
      </c>
      <c r="R80" s="631">
        <v>2</v>
      </c>
      <c r="S80" s="628">
        <f>R80/S$63</f>
        <v>9.5238095238095233E-2</v>
      </c>
      <c r="T80" s="631"/>
      <c r="U80" s="629" t="e">
        <f>T80/U$63</f>
        <v>#DIV/0!</v>
      </c>
      <c r="V80" s="192"/>
      <c r="W80" s="807">
        <f t="shared" si="28"/>
        <v>1.5</v>
      </c>
      <c r="X80" s="193" t="e">
        <f t="shared" si="29"/>
        <v>#DIV/0!</v>
      </c>
    </row>
    <row r="81" spans="1:24" s="1" customFormat="1" ht="18" customHeight="1" x14ac:dyDescent="0.2">
      <c r="A81" s="603" t="s">
        <v>60</v>
      </c>
      <c r="B81" s="637"/>
      <c r="C81" s="638"/>
      <c r="D81" s="637"/>
      <c r="E81" s="639"/>
      <c r="F81" s="640"/>
      <c r="G81" s="639"/>
      <c r="H81" s="640"/>
      <c r="I81" s="639"/>
      <c r="J81" s="640"/>
      <c r="K81" s="639"/>
      <c r="L81" s="640"/>
      <c r="M81" s="639"/>
      <c r="N81" s="640"/>
      <c r="O81" s="639"/>
      <c r="P81" s="640"/>
      <c r="Q81" s="639"/>
      <c r="R81" s="640"/>
      <c r="S81" s="639"/>
      <c r="T81" s="640"/>
      <c r="U81" s="641"/>
      <c r="V81" s="192"/>
      <c r="W81" s="807"/>
      <c r="X81" s="193"/>
    </row>
    <row r="82" spans="1:24" s="1" customFormat="1" ht="15" customHeight="1" x14ac:dyDescent="0.2">
      <c r="A82" s="186" t="s">
        <v>61</v>
      </c>
      <c r="B82" s="203">
        <v>19</v>
      </c>
      <c r="C82" s="188">
        <f>B82/C$63</f>
        <v>0.95</v>
      </c>
      <c r="D82" s="203">
        <v>20</v>
      </c>
      <c r="E82" s="189">
        <f>D82/E$63</f>
        <v>0.95238095238095233</v>
      </c>
      <c r="F82" s="204">
        <v>20</v>
      </c>
      <c r="G82" s="189">
        <f>F82/G$63</f>
        <v>0.95238095238095233</v>
      </c>
      <c r="H82" s="204">
        <v>19</v>
      </c>
      <c r="I82" s="189">
        <f>H82/I$63</f>
        <v>0.95</v>
      </c>
      <c r="J82" s="204">
        <f>2+18</f>
        <v>20</v>
      </c>
      <c r="K82" s="189">
        <f>J82/K$63</f>
        <v>0.95238095238095233</v>
      </c>
      <c r="L82" s="204">
        <v>19</v>
      </c>
      <c r="M82" s="189">
        <f>L82/M$63</f>
        <v>0.95</v>
      </c>
      <c r="N82" s="204">
        <v>19</v>
      </c>
      <c r="O82" s="189">
        <f>N82/O$63</f>
        <v>1</v>
      </c>
      <c r="P82" s="204">
        <v>21</v>
      </c>
      <c r="Q82" s="189">
        <f>P82/Q$63</f>
        <v>0.95454545454545459</v>
      </c>
      <c r="R82" s="204">
        <v>17</v>
      </c>
      <c r="S82" s="189">
        <f>R82/S$63</f>
        <v>0.80952380952380953</v>
      </c>
      <c r="T82" s="204"/>
      <c r="U82" s="191" t="e">
        <f>T82/U$63</f>
        <v>#DIV/0!</v>
      </c>
      <c r="V82" s="192"/>
      <c r="W82" s="807">
        <f t="shared" si="28"/>
        <v>19</v>
      </c>
      <c r="X82" s="193" t="e">
        <f t="shared" si="29"/>
        <v>#DIV/0!</v>
      </c>
    </row>
    <row r="83" spans="1:24" s="1" customFormat="1" ht="15" customHeight="1" x14ac:dyDescent="0.2">
      <c r="A83" s="186" t="s">
        <v>62</v>
      </c>
      <c r="B83" s="203">
        <v>1</v>
      </c>
      <c r="C83" s="188">
        <f>B83/C$63</f>
        <v>0.05</v>
      </c>
      <c r="D83" s="203">
        <v>1</v>
      </c>
      <c r="E83" s="189">
        <f>D83/E$63</f>
        <v>4.7619047619047616E-2</v>
      </c>
      <c r="F83" s="204">
        <v>1</v>
      </c>
      <c r="G83" s="189">
        <f>F83/G$63</f>
        <v>4.7619047619047616E-2</v>
      </c>
      <c r="H83" s="204">
        <v>1</v>
      </c>
      <c r="I83" s="189">
        <f>H83/I$63</f>
        <v>0.05</v>
      </c>
      <c r="J83" s="204">
        <f>1</f>
        <v>1</v>
      </c>
      <c r="K83" s="189">
        <f>J83/K$63</f>
        <v>4.7619047619047616E-2</v>
      </c>
      <c r="L83" s="204">
        <v>1</v>
      </c>
      <c r="M83" s="189">
        <f>L83/M$63</f>
        <v>0.05</v>
      </c>
      <c r="N83" s="204">
        <v>0</v>
      </c>
      <c r="O83" s="189">
        <f>N83/O$63</f>
        <v>0</v>
      </c>
      <c r="P83" s="204">
        <v>1</v>
      </c>
      <c r="Q83" s="189">
        <f>P83/Q$63</f>
        <v>4.5454545454545456E-2</v>
      </c>
      <c r="R83" s="204">
        <v>0</v>
      </c>
      <c r="S83" s="189">
        <f>R83/S$63</f>
        <v>0</v>
      </c>
      <c r="T83" s="204"/>
      <c r="U83" s="191" t="e">
        <f>T83/U$63</f>
        <v>#DIV/0!</v>
      </c>
      <c r="V83" s="192"/>
      <c r="W83" s="807">
        <f t="shared" si="28"/>
        <v>0.5</v>
      </c>
      <c r="X83" s="193" t="e">
        <f t="shared" si="29"/>
        <v>#DIV/0!</v>
      </c>
    </row>
    <row r="84" spans="1:24" s="1" customFormat="1" ht="15" customHeight="1" x14ac:dyDescent="0.2">
      <c r="A84" s="186" t="s">
        <v>63</v>
      </c>
      <c r="B84" s="203">
        <v>0</v>
      </c>
      <c r="C84" s="188">
        <f>B84/C$63</f>
        <v>0</v>
      </c>
      <c r="D84" s="203">
        <v>0</v>
      </c>
      <c r="E84" s="189">
        <f>D84/E$63</f>
        <v>0</v>
      </c>
      <c r="F84" s="204">
        <v>0</v>
      </c>
      <c r="G84" s="189">
        <f>F84/G$63</f>
        <v>0</v>
      </c>
      <c r="H84" s="204">
        <v>0</v>
      </c>
      <c r="I84" s="189">
        <f>H84/I$63</f>
        <v>0</v>
      </c>
      <c r="J84" s="204">
        <f>0</f>
        <v>0</v>
      </c>
      <c r="K84" s="189">
        <f>J84/K$63</f>
        <v>0</v>
      </c>
      <c r="L84" s="204">
        <v>0</v>
      </c>
      <c r="M84" s="189">
        <f>L84/M$63</f>
        <v>0</v>
      </c>
      <c r="N84" s="204">
        <v>0</v>
      </c>
      <c r="O84" s="189">
        <f>N84/O$63</f>
        <v>0</v>
      </c>
      <c r="P84" s="204">
        <v>0</v>
      </c>
      <c r="Q84" s="189">
        <f>P84/Q$63</f>
        <v>0</v>
      </c>
      <c r="R84" s="204">
        <v>1</v>
      </c>
      <c r="S84" s="189">
        <f>R84/S$63</f>
        <v>4.7619047619047616E-2</v>
      </c>
      <c r="T84" s="204"/>
      <c r="U84" s="191" t="e">
        <f>T84/U$63</f>
        <v>#DIV/0!</v>
      </c>
      <c r="V84" s="182"/>
      <c r="W84" s="807">
        <f t="shared" si="28"/>
        <v>0.25</v>
      </c>
      <c r="X84" s="193" t="e">
        <f t="shared" si="29"/>
        <v>#DIV/0!</v>
      </c>
    </row>
    <row r="85" spans="1:24" s="1" customFormat="1" ht="15" customHeight="1" thickBot="1" x14ac:dyDescent="0.25">
      <c r="A85" s="207" t="s">
        <v>64</v>
      </c>
      <c r="B85" s="208">
        <v>0</v>
      </c>
      <c r="C85" s="209">
        <f>B85/C$63</f>
        <v>0</v>
      </c>
      <c r="D85" s="208">
        <v>0</v>
      </c>
      <c r="E85" s="210">
        <f>D85/E$63</f>
        <v>0</v>
      </c>
      <c r="F85" s="211">
        <v>0</v>
      </c>
      <c r="G85" s="210">
        <f>F85/G$63</f>
        <v>0</v>
      </c>
      <c r="H85" s="211">
        <v>0</v>
      </c>
      <c r="I85" s="210">
        <f>H85/I$63</f>
        <v>0</v>
      </c>
      <c r="J85" s="211">
        <f>0</f>
        <v>0</v>
      </c>
      <c r="K85" s="210">
        <f>J85/K$63</f>
        <v>0</v>
      </c>
      <c r="L85" s="211">
        <v>0</v>
      </c>
      <c r="M85" s="210">
        <f>L85/M$63</f>
        <v>0</v>
      </c>
      <c r="N85" s="211">
        <v>0</v>
      </c>
      <c r="O85" s="210">
        <f>N85/O$63</f>
        <v>0</v>
      </c>
      <c r="P85" s="211">
        <v>0</v>
      </c>
      <c r="Q85" s="210">
        <f>P85/Q$63</f>
        <v>0</v>
      </c>
      <c r="R85" s="211">
        <v>0</v>
      </c>
      <c r="S85" s="210">
        <f>R85/S$63</f>
        <v>0</v>
      </c>
      <c r="T85" s="211"/>
      <c r="U85" s="212" t="e">
        <f>T85/U$63</f>
        <v>#DIV/0!</v>
      </c>
      <c r="V85" s="182"/>
      <c r="W85" s="811">
        <f t="shared" si="28"/>
        <v>0</v>
      </c>
      <c r="X85" s="213" t="e">
        <f t="shared" si="29"/>
        <v>#DIV/0!</v>
      </c>
    </row>
    <row r="86" spans="1:24" ht="15" customHeight="1" thickTop="1" x14ac:dyDescent="0.2">
      <c r="A86" s="462" t="s">
        <v>160</v>
      </c>
    </row>
    <row r="87" spans="1:24" ht="15" customHeight="1" x14ac:dyDescent="0.2">
      <c r="A87" s="1"/>
      <c r="H87" s="47" t="s">
        <v>19</v>
      </c>
      <c r="J87" s="47" t="s">
        <v>19</v>
      </c>
      <c r="L87" s="47" t="s">
        <v>19</v>
      </c>
      <c r="N87" s="47" t="s">
        <v>19</v>
      </c>
      <c r="P87" s="47" t="s">
        <v>19</v>
      </c>
      <c r="R87" s="47" t="s">
        <v>19</v>
      </c>
      <c r="T87" s="47"/>
    </row>
    <row r="88" spans="1:24" x14ac:dyDescent="0.2">
      <c r="A88" s="1"/>
    </row>
    <row r="89" spans="1:24" x14ac:dyDescent="0.2">
      <c r="A89" s="1"/>
    </row>
    <row r="90" spans="1:24" x14ac:dyDescent="0.2">
      <c r="A90" s="1"/>
    </row>
    <row r="91" spans="1:24" x14ac:dyDescent="0.2">
      <c r="A91" s="1"/>
    </row>
    <row r="92" spans="1:24" x14ac:dyDescent="0.2">
      <c r="A92" s="1"/>
    </row>
    <row r="93" spans="1:24" x14ac:dyDescent="0.2">
      <c r="A93" s="1"/>
    </row>
    <row r="94" spans="1:24" x14ac:dyDescent="0.2">
      <c r="A94" s="1"/>
    </row>
    <row r="95" spans="1:24" x14ac:dyDescent="0.2">
      <c r="A95" s="1"/>
    </row>
    <row r="96" spans="1:24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</sheetData>
  <mergeCells count="77">
    <mergeCell ref="N51:O51"/>
    <mergeCell ref="P51:Q51"/>
    <mergeCell ref="R51:S51"/>
    <mergeCell ref="W51:X51"/>
    <mergeCell ref="B51:C51"/>
    <mergeCell ref="D51:E51"/>
    <mergeCell ref="F51:G51"/>
    <mergeCell ref="H51:I51"/>
    <mergeCell ref="J51:K51"/>
    <mergeCell ref="L51:M51"/>
    <mergeCell ref="T51:U51"/>
    <mergeCell ref="N9:O9"/>
    <mergeCell ref="P9:Q9"/>
    <mergeCell ref="R9:S9"/>
    <mergeCell ref="W9:X9"/>
    <mergeCell ref="B9:C9"/>
    <mergeCell ref="D9:E9"/>
    <mergeCell ref="F9:G9"/>
    <mergeCell ref="H9:I9"/>
    <mergeCell ref="J9:K9"/>
    <mergeCell ref="L9:M9"/>
    <mergeCell ref="T9:U9"/>
    <mergeCell ref="L25:M25"/>
    <mergeCell ref="N25:O25"/>
    <mergeCell ref="P25:Q25"/>
    <mergeCell ref="R25:S25"/>
    <mergeCell ref="W25:X25"/>
    <mergeCell ref="T25:U25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W32:X32"/>
    <mergeCell ref="T32:U32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W35:X35"/>
    <mergeCell ref="T35:U35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W42:X42"/>
    <mergeCell ref="T42:U42"/>
    <mergeCell ref="B45:C45"/>
    <mergeCell ref="D45:E45"/>
    <mergeCell ref="F45:G45"/>
    <mergeCell ref="H45:I45"/>
    <mergeCell ref="J45:K45"/>
    <mergeCell ref="N45:O45"/>
    <mergeCell ref="P45:Q45"/>
    <mergeCell ref="R45:S45"/>
    <mergeCell ref="W45:X45"/>
    <mergeCell ref="L45:M45"/>
    <mergeCell ref="T45:U45"/>
  </mergeCells>
  <printOptions horizontalCentered="1"/>
  <pageMargins left="0.7" right="0.7" top="0.5" bottom="0.5" header="0.3" footer="0.3"/>
  <pageSetup scale="56" orientation="landscape" r:id="rId1"/>
  <headerFooter alignWithMargins="0">
    <oddFooter>&amp;LPrepared by Planning and Analysis&amp;C&amp;P of &amp;N&amp;RUpdated &amp;D</oddFooter>
  </headerFooter>
  <rowBreaks count="1" manualBreakCount="1">
    <brk id="49" max="21" man="1"/>
  </rowBreaks>
  <colBreaks count="1" manualBreakCount="1">
    <brk id="21" min="7" max="86" man="1"/>
  </colBreaks>
  <ignoredErrors>
    <ignoredError sqref="J66:J8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2"/>
  <sheetViews>
    <sheetView view="pageBreakPreview" zoomScaleNormal="100" zoomScaleSheetLayoutView="100" workbookViewId="0">
      <pane xSplit="1" ySplit="2" topLeftCell="P3" activePane="bottomRight" state="frozen"/>
      <selection activeCell="W23" sqref="W23:X23"/>
      <selection pane="topRight" activeCell="W23" sqref="W23:X23"/>
      <selection pane="bottomLeft" activeCell="W23" sqref="W23:X23"/>
      <selection pane="bottomRight" activeCell="W23" sqref="W23:X23"/>
    </sheetView>
  </sheetViews>
  <sheetFormatPr defaultColWidth="10.28515625" defaultRowHeight="12.75" x14ac:dyDescent="0.2"/>
  <cols>
    <col min="1" max="1" width="34.710937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4" ht="15.75" x14ac:dyDescent="0.25">
      <c r="A1" s="438" t="s">
        <v>148</v>
      </c>
    </row>
    <row r="2" spans="1:24" ht="15.75" x14ac:dyDescent="0.25">
      <c r="A2" s="438" t="s">
        <v>149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1:24" x14ac:dyDescent="0.2">
      <c r="A3" s="439"/>
    </row>
    <row r="4" spans="1:24" ht="15.75" x14ac:dyDescent="0.25">
      <c r="A4" s="440" t="s">
        <v>150</v>
      </c>
    </row>
    <row r="5" spans="1:24" x14ac:dyDescent="0.2">
      <c r="A5" s="444"/>
    </row>
    <row r="6" spans="1:24" ht="25.5" x14ac:dyDescent="0.2">
      <c r="A6" s="445" t="s">
        <v>157</v>
      </c>
    </row>
    <row r="7" spans="1:24" x14ac:dyDescent="0.2">
      <c r="A7" s="441">
        <v>3670045120</v>
      </c>
    </row>
    <row r="8" spans="1:24" ht="13.5" thickBot="1" x14ac:dyDescent="0.25">
      <c r="A8" s="1"/>
    </row>
    <row r="9" spans="1:24" ht="14.25" thickTop="1" thickBot="1" x14ac:dyDescent="0.25">
      <c r="A9" s="3"/>
      <c r="B9" s="943" t="s">
        <v>0</v>
      </c>
      <c r="C9" s="940"/>
      <c r="D9" s="943" t="s">
        <v>1</v>
      </c>
      <c r="E9" s="940"/>
      <c r="F9" s="943" t="s">
        <v>2</v>
      </c>
      <c r="G9" s="940"/>
      <c r="H9" s="943" t="s">
        <v>3</v>
      </c>
      <c r="I9" s="940"/>
      <c r="J9" s="943" t="s">
        <v>4</v>
      </c>
      <c r="K9" s="940"/>
      <c r="L9" s="943" t="s">
        <v>5</v>
      </c>
      <c r="M9" s="940"/>
      <c r="N9" s="943" t="s">
        <v>6</v>
      </c>
      <c r="O9" s="940"/>
      <c r="P9" s="943" t="s">
        <v>7</v>
      </c>
      <c r="Q9" s="940"/>
      <c r="R9" s="943" t="s">
        <v>8</v>
      </c>
      <c r="S9" s="940"/>
      <c r="T9" s="943" t="s">
        <v>186</v>
      </c>
      <c r="U9" s="944"/>
      <c r="W9" s="957" t="s">
        <v>9</v>
      </c>
      <c r="X9" s="958"/>
    </row>
    <row r="10" spans="1:24" x14ac:dyDescent="0.2">
      <c r="A10" s="4"/>
      <c r="B10" s="49" t="s">
        <v>10</v>
      </c>
      <c r="C10" s="7" t="s">
        <v>11</v>
      </c>
      <c r="D10" s="49" t="s">
        <v>10</v>
      </c>
      <c r="E10" s="7" t="s">
        <v>11</v>
      </c>
      <c r="F10" s="49" t="s">
        <v>10</v>
      </c>
      <c r="G10" s="7" t="s">
        <v>11</v>
      </c>
      <c r="H10" s="49" t="s">
        <v>10</v>
      </c>
      <c r="I10" s="7" t="s">
        <v>11</v>
      </c>
      <c r="J10" s="49" t="s">
        <v>10</v>
      </c>
      <c r="K10" s="7" t="s">
        <v>11</v>
      </c>
      <c r="L10" s="49" t="s">
        <v>10</v>
      </c>
      <c r="M10" s="7" t="s">
        <v>11</v>
      </c>
      <c r="N10" s="49" t="s">
        <v>10</v>
      </c>
      <c r="O10" s="7" t="s">
        <v>11</v>
      </c>
      <c r="P10" s="49" t="s">
        <v>10</v>
      </c>
      <c r="Q10" s="7" t="s">
        <v>11</v>
      </c>
      <c r="R10" s="49" t="s">
        <v>10</v>
      </c>
      <c r="S10" s="7" t="s">
        <v>11</v>
      </c>
      <c r="T10" s="49" t="s">
        <v>10</v>
      </c>
      <c r="U10" s="74" t="s">
        <v>11</v>
      </c>
      <c r="W10" s="5" t="s">
        <v>12</v>
      </c>
      <c r="X10" s="6" t="s">
        <v>13</v>
      </c>
    </row>
    <row r="11" spans="1:24" ht="13.5" thickBot="1" x14ac:dyDescent="0.25">
      <c r="A11" s="51" t="s">
        <v>73</v>
      </c>
      <c r="B11" s="50" t="s">
        <v>14</v>
      </c>
      <c r="C11" s="50" t="s">
        <v>15</v>
      </c>
      <c r="D11" s="50" t="s">
        <v>14</v>
      </c>
      <c r="E11" s="50" t="s">
        <v>15</v>
      </c>
      <c r="F11" s="793" t="s">
        <v>14</v>
      </c>
      <c r="G11" s="864" t="s">
        <v>15</v>
      </c>
      <c r="H11" s="793" t="s">
        <v>14</v>
      </c>
      <c r="I11" s="864" t="s">
        <v>15</v>
      </c>
      <c r="J11" s="793" t="s">
        <v>14</v>
      </c>
      <c r="K11" s="864" t="s">
        <v>15</v>
      </c>
      <c r="L11" s="50" t="s">
        <v>14</v>
      </c>
      <c r="M11" s="789" t="s">
        <v>15</v>
      </c>
      <c r="N11" s="793" t="s">
        <v>14</v>
      </c>
      <c r="O11" s="864" t="s">
        <v>15</v>
      </c>
      <c r="P11" s="50" t="s">
        <v>14</v>
      </c>
      <c r="Q11" s="789" t="s">
        <v>15</v>
      </c>
      <c r="R11" s="793" t="s">
        <v>14</v>
      </c>
      <c r="S11" s="864" t="s">
        <v>15</v>
      </c>
      <c r="T11" s="793" t="s">
        <v>14</v>
      </c>
      <c r="U11" s="865" t="s">
        <v>15</v>
      </c>
      <c r="W11" s="8" t="s">
        <v>14</v>
      </c>
      <c r="X11" s="9" t="s">
        <v>15</v>
      </c>
    </row>
    <row r="12" spans="1:24" ht="15" customHeight="1" x14ac:dyDescent="0.2">
      <c r="A12" s="104" t="s">
        <v>108</v>
      </c>
      <c r="B12" s="129"/>
      <c r="C12" s="130"/>
      <c r="D12" s="11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5"/>
      <c r="V12" s="776"/>
      <c r="W12" s="775"/>
      <c r="X12" s="21"/>
    </row>
    <row r="13" spans="1:24" s="20" customFormat="1" ht="15" customHeight="1" x14ac:dyDescent="0.2">
      <c r="A13" s="17" t="s">
        <v>16</v>
      </c>
      <c r="B13" s="18">
        <v>49</v>
      </c>
      <c r="C13" s="84"/>
      <c r="D13" s="19">
        <v>62</v>
      </c>
      <c r="E13" s="86"/>
      <c r="F13" s="18">
        <v>61</v>
      </c>
      <c r="G13" s="86"/>
      <c r="H13" s="18">
        <v>58</v>
      </c>
      <c r="I13" s="86"/>
      <c r="J13" s="18">
        <v>54</v>
      </c>
      <c r="K13" s="86"/>
      <c r="L13" s="18">
        <v>77</v>
      </c>
      <c r="M13" s="86"/>
      <c r="N13" s="18">
        <v>91</v>
      </c>
      <c r="O13" s="86"/>
      <c r="P13" s="18">
        <v>115</v>
      </c>
      <c r="Q13" s="88"/>
      <c r="R13" s="18">
        <f>35+67</f>
        <v>102</v>
      </c>
      <c r="S13" s="86"/>
      <c r="T13" s="92">
        <v>99</v>
      </c>
      <c r="U13" s="90"/>
      <c r="W13" s="16">
        <f>AVERAGE(N13,L13,R13,T13,P13)</f>
        <v>96.8</v>
      </c>
      <c r="X13" s="264"/>
    </row>
    <row r="14" spans="1:24" s="20" customFormat="1" ht="15" customHeight="1" thickBot="1" x14ac:dyDescent="0.25">
      <c r="A14" s="22" t="s">
        <v>17</v>
      </c>
      <c r="B14" s="24">
        <v>76</v>
      </c>
      <c r="C14" s="85"/>
      <c r="D14" s="67">
        <v>91</v>
      </c>
      <c r="E14" s="87"/>
      <c r="F14" s="24">
        <v>100</v>
      </c>
      <c r="G14" s="87"/>
      <c r="H14" s="24">
        <v>109</v>
      </c>
      <c r="I14" s="87"/>
      <c r="J14" s="24">
        <v>134</v>
      </c>
      <c r="K14" s="87"/>
      <c r="L14" s="24">
        <v>120</v>
      </c>
      <c r="M14" s="87"/>
      <c r="N14" s="24">
        <v>130</v>
      </c>
      <c r="O14" s="87"/>
      <c r="P14" s="24">
        <v>144</v>
      </c>
      <c r="Q14" s="89"/>
      <c r="R14" s="24">
        <f>48+98</f>
        <v>146</v>
      </c>
      <c r="S14" s="87"/>
      <c r="T14" s="24">
        <v>166</v>
      </c>
      <c r="U14" s="91"/>
      <c r="W14" s="105">
        <f>AVERAGE(N14,L14,R14,T14,P14)</f>
        <v>141.19999999999999</v>
      </c>
      <c r="X14" s="275"/>
    </row>
    <row r="15" spans="1:24" s="53" customFormat="1" ht="15" customHeight="1" thickBot="1" x14ac:dyDescent="0.25">
      <c r="A15" s="75" t="s">
        <v>18</v>
      </c>
      <c r="B15" s="68">
        <f t="shared" ref="B15:R15" si="0">SUM(B13:B14)</f>
        <v>125</v>
      </c>
      <c r="C15" s="77">
        <v>23</v>
      </c>
      <c r="D15" s="68">
        <f t="shared" si="0"/>
        <v>153</v>
      </c>
      <c r="E15" s="77">
        <v>28</v>
      </c>
      <c r="F15" s="68">
        <f t="shared" si="0"/>
        <v>161</v>
      </c>
      <c r="G15" s="77">
        <v>24</v>
      </c>
      <c r="H15" s="68">
        <f t="shared" si="0"/>
        <v>167</v>
      </c>
      <c r="I15" s="77">
        <v>30</v>
      </c>
      <c r="J15" s="407">
        <f t="shared" si="0"/>
        <v>188</v>
      </c>
      <c r="K15" s="77">
        <v>43</v>
      </c>
      <c r="L15" s="68">
        <f t="shared" si="0"/>
        <v>197</v>
      </c>
      <c r="M15" s="77">
        <v>39</v>
      </c>
      <c r="N15" s="68">
        <f t="shared" si="0"/>
        <v>221</v>
      </c>
      <c r="O15" s="77">
        <v>38</v>
      </c>
      <c r="P15" s="68">
        <f t="shared" si="0"/>
        <v>259</v>
      </c>
      <c r="Q15" s="77">
        <v>46</v>
      </c>
      <c r="R15" s="68">
        <f t="shared" si="0"/>
        <v>248</v>
      </c>
      <c r="S15" s="77">
        <v>48</v>
      </c>
      <c r="T15" s="68">
        <f t="shared" ref="T15:U15" si="1">SUM(T13:T14)</f>
        <v>265</v>
      </c>
      <c r="U15" s="825">
        <f t="shared" si="1"/>
        <v>0</v>
      </c>
      <c r="W15" s="272">
        <f>AVERAGE(N15,L15,R15,T15,P15)</f>
        <v>238</v>
      </c>
      <c r="X15" s="273">
        <f>AVERAGE(O15,M15,K15,S15,Q15)</f>
        <v>42.8</v>
      </c>
    </row>
    <row r="16" spans="1:24" s="53" customFormat="1" ht="15" customHeight="1" x14ac:dyDescent="0.2">
      <c r="A16" s="119" t="s">
        <v>20</v>
      </c>
      <c r="B16" s="11">
        <v>12</v>
      </c>
      <c r="C16" s="35">
        <v>7</v>
      </c>
      <c r="D16" s="11">
        <v>13</v>
      </c>
      <c r="E16" s="34">
        <v>11</v>
      </c>
      <c r="F16" s="13">
        <v>18</v>
      </c>
      <c r="G16" s="34">
        <v>9</v>
      </c>
      <c r="H16" s="13">
        <v>25</v>
      </c>
      <c r="I16" s="34">
        <v>11</v>
      </c>
      <c r="J16" s="13">
        <v>29</v>
      </c>
      <c r="K16" s="34">
        <v>19</v>
      </c>
      <c r="L16" s="13">
        <v>11</v>
      </c>
      <c r="M16" s="34">
        <v>10</v>
      </c>
      <c r="N16" s="13">
        <v>21</v>
      </c>
      <c r="O16" s="34">
        <v>8</v>
      </c>
      <c r="P16" s="13">
        <v>17</v>
      </c>
      <c r="Q16" s="34">
        <v>15</v>
      </c>
      <c r="R16" s="13">
        <v>10</v>
      </c>
      <c r="S16" s="34">
        <v>7</v>
      </c>
      <c r="T16" s="11">
        <v>12</v>
      </c>
      <c r="U16" s="842"/>
      <c r="W16" s="16">
        <f>AVERAGE(N16,L16,R16,T16,P16)</f>
        <v>14.2</v>
      </c>
      <c r="X16" s="271">
        <f t="shared" ref="X16:X25" si="2">AVERAGE(O16,M16,K16,S16,Q16)</f>
        <v>11.8</v>
      </c>
    </row>
    <row r="17" spans="1:24" s="53" customFormat="1" ht="15" customHeight="1" x14ac:dyDescent="0.2">
      <c r="A17" s="17" t="s">
        <v>92</v>
      </c>
      <c r="B17" s="11">
        <v>8</v>
      </c>
      <c r="C17" s="155">
        <v>1</v>
      </c>
      <c r="D17" s="11">
        <v>11</v>
      </c>
      <c r="E17" s="156">
        <v>1</v>
      </c>
      <c r="F17" s="13">
        <v>13</v>
      </c>
      <c r="G17" s="156">
        <v>1</v>
      </c>
      <c r="H17" s="13">
        <v>16</v>
      </c>
      <c r="I17" s="156">
        <v>3</v>
      </c>
      <c r="J17" s="13">
        <v>19</v>
      </c>
      <c r="K17" s="156">
        <v>2</v>
      </c>
      <c r="L17" s="13">
        <v>17</v>
      </c>
      <c r="M17" s="156">
        <v>2</v>
      </c>
      <c r="N17" s="13">
        <v>17</v>
      </c>
      <c r="O17" s="156">
        <v>4</v>
      </c>
      <c r="P17" s="13">
        <v>14</v>
      </c>
      <c r="Q17" s="156">
        <v>2</v>
      </c>
      <c r="R17" s="13">
        <v>18</v>
      </c>
      <c r="S17" s="156">
        <v>3</v>
      </c>
      <c r="T17" s="11">
        <v>20</v>
      </c>
      <c r="U17" s="853"/>
      <c r="W17" s="16">
        <f>AVERAGE(N17,L17,R17,T17,P17)</f>
        <v>17.2</v>
      </c>
      <c r="X17" s="271">
        <f t="shared" si="2"/>
        <v>2.6</v>
      </c>
    </row>
    <row r="18" spans="1:24" ht="15" customHeight="1" x14ac:dyDescent="0.2">
      <c r="A18" s="135" t="s">
        <v>109</v>
      </c>
      <c r="B18" s="128"/>
      <c r="C18" s="130"/>
      <c r="D18" s="11"/>
      <c r="E18" s="14"/>
      <c r="F18" s="11"/>
      <c r="G18" s="14"/>
      <c r="H18" s="11"/>
      <c r="I18" s="14"/>
      <c r="J18" s="11"/>
      <c r="K18" s="14"/>
      <c r="L18" s="11"/>
      <c r="M18" s="14"/>
      <c r="N18" s="11"/>
      <c r="O18" s="14"/>
      <c r="P18" s="11"/>
      <c r="Q18" s="14"/>
      <c r="R18" s="11"/>
      <c r="S18" s="14"/>
      <c r="T18" s="11"/>
      <c r="U18" s="833"/>
      <c r="V18" s="776"/>
      <c r="W18" s="775"/>
      <c r="X18" s="21"/>
    </row>
    <row r="19" spans="1:24" ht="15" customHeight="1" x14ac:dyDescent="0.2">
      <c r="A19" s="120" t="s">
        <v>110</v>
      </c>
      <c r="B19" s="11">
        <v>5</v>
      </c>
      <c r="C19" s="155">
        <v>4</v>
      </c>
      <c r="D19" s="11">
        <v>0</v>
      </c>
      <c r="E19" s="156">
        <v>1</v>
      </c>
      <c r="F19" s="13">
        <v>0</v>
      </c>
      <c r="G19" s="156">
        <v>0</v>
      </c>
      <c r="H19" s="13">
        <v>0</v>
      </c>
      <c r="I19" s="156">
        <v>0</v>
      </c>
      <c r="J19" s="13">
        <v>0</v>
      </c>
      <c r="K19" s="156">
        <v>0</v>
      </c>
      <c r="L19" s="13">
        <v>0</v>
      </c>
      <c r="M19" s="156">
        <v>0</v>
      </c>
      <c r="N19" s="13">
        <v>0</v>
      </c>
      <c r="O19" s="156">
        <v>1</v>
      </c>
      <c r="P19" s="13">
        <v>0</v>
      </c>
      <c r="Q19" s="156">
        <v>0</v>
      </c>
      <c r="R19" s="13">
        <v>0</v>
      </c>
      <c r="S19" s="156">
        <v>0</v>
      </c>
      <c r="T19" s="11">
        <v>0</v>
      </c>
      <c r="U19" s="833"/>
      <c r="V19" s="776"/>
      <c r="W19" s="16">
        <f>AVERAGE(N19,L19,R19,T19,P19)</f>
        <v>0</v>
      </c>
      <c r="X19" s="271">
        <f t="shared" si="2"/>
        <v>0.2</v>
      </c>
    </row>
    <row r="20" spans="1:24" ht="15" customHeight="1" x14ac:dyDescent="0.2">
      <c r="A20" s="104" t="s">
        <v>111</v>
      </c>
      <c r="B20" s="128"/>
      <c r="C20" s="130"/>
      <c r="D20" s="11"/>
      <c r="E20" s="14"/>
      <c r="F20" s="11"/>
      <c r="G20" s="14"/>
      <c r="H20" s="11"/>
      <c r="I20" s="14"/>
      <c r="J20" s="11"/>
      <c r="K20" s="14"/>
      <c r="L20" s="11"/>
      <c r="M20" s="14"/>
      <c r="N20" s="11"/>
      <c r="O20" s="14"/>
      <c r="P20" s="11"/>
      <c r="Q20" s="14"/>
      <c r="R20" s="11"/>
      <c r="S20" s="14"/>
      <c r="T20" s="11"/>
      <c r="U20" s="833"/>
      <c r="V20" s="776"/>
      <c r="W20" s="775"/>
      <c r="X20" s="21"/>
    </row>
    <row r="21" spans="1:24" ht="15" customHeight="1" x14ac:dyDescent="0.2">
      <c r="A21" s="138" t="s">
        <v>96</v>
      </c>
      <c r="B21" s="141">
        <v>0</v>
      </c>
      <c r="C21" s="168">
        <v>0</v>
      </c>
      <c r="D21" s="141">
        <v>0</v>
      </c>
      <c r="E21" s="169">
        <v>0</v>
      </c>
      <c r="F21" s="142">
        <v>0</v>
      </c>
      <c r="G21" s="169">
        <v>0</v>
      </c>
      <c r="H21" s="142">
        <v>0</v>
      </c>
      <c r="I21" s="169">
        <v>0</v>
      </c>
      <c r="J21" s="142">
        <v>0</v>
      </c>
      <c r="K21" s="169">
        <v>0</v>
      </c>
      <c r="L21" s="142">
        <v>0</v>
      </c>
      <c r="M21" s="169">
        <v>0</v>
      </c>
      <c r="N21" s="142">
        <v>0</v>
      </c>
      <c r="O21" s="169">
        <v>0</v>
      </c>
      <c r="P21" s="142">
        <v>0</v>
      </c>
      <c r="Q21" s="169">
        <v>0</v>
      </c>
      <c r="R21" s="142">
        <v>0</v>
      </c>
      <c r="S21" s="169">
        <v>0</v>
      </c>
      <c r="T21" s="11">
        <v>0</v>
      </c>
      <c r="U21" s="833"/>
      <c r="V21" s="776"/>
      <c r="W21" s="16">
        <f>AVERAGE(N21,L21,R21,T21,P21)</f>
        <v>0</v>
      </c>
      <c r="X21" s="271">
        <f t="shared" si="2"/>
        <v>0</v>
      </c>
    </row>
    <row r="22" spans="1:24" ht="15" customHeight="1" x14ac:dyDescent="0.2">
      <c r="A22" s="123" t="s">
        <v>97</v>
      </c>
      <c r="B22" s="11">
        <v>16</v>
      </c>
      <c r="C22" s="35">
        <v>7</v>
      </c>
      <c r="D22" s="11">
        <v>9</v>
      </c>
      <c r="E22" s="34">
        <v>9</v>
      </c>
      <c r="F22" s="13">
        <v>7</v>
      </c>
      <c r="G22" s="34">
        <v>2</v>
      </c>
      <c r="H22" s="13">
        <v>15</v>
      </c>
      <c r="I22" s="34">
        <v>4</v>
      </c>
      <c r="J22" s="13">
        <v>28</v>
      </c>
      <c r="K22" s="34">
        <v>6</v>
      </c>
      <c r="L22" s="13">
        <v>32</v>
      </c>
      <c r="M22" s="34">
        <v>11</v>
      </c>
      <c r="N22" s="13">
        <v>24</v>
      </c>
      <c r="O22" s="34">
        <v>13</v>
      </c>
      <c r="P22" s="13">
        <v>21</v>
      </c>
      <c r="Q22" s="34">
        <v>4</v>
      </c>
      <c r="R22" s="13">
        <v>22</v>
      </c>
      <c r="S22" s="34">
        <v>14</v>
      </c>
      <c r="T22" s="11">
        <v>15</v>
      </c>
      <c r="U22" s="833"/>
      <c r="V22" s="776"/>
      <c r="W22" s="16">
        <f>AVERAGE(N22,L22,R22,T22,P22)</f>
        <v>22.8</v>
      </c>
      <c r="X22" s="271">
        <f t="shared" si="2"/>
        <v>9.6</v>
      </c>
    </row>
    <row r="23" spans="1:24" ht="24" x14ac:dyDescent="0.2">
      <c r="A23" s="140" t="s">
        <v>112</v>
      </c>
      <c r="B23" s="128"/>
      <c r="C23" s="130"/>
      <c r="D23" s="11"/>
      <c r="E23" s="14"/>
      <c r="F23" s="11"/>
      <c r="G23" s="14"/>
      <c r="H23" s="11"/>
      <c r="I23" s="14"/>
      <c r="J23" s="11"/>
      <c r="K23" s="14"/>
      <c r="L23" s="11"/>
      <c r="M23" s="14"/>
      <c r="N23" s="11"/>
      <c r="O23" s="14"/>
      <c r="P23" s="11"/>
      <c r="Q23" s="14"/>
      <c r="R23" s="11"/>
      <c r="S23" s="14"/>
      <c r="T23" s="11"/>
      <c r="U23" s="833"/>
      <c r="V23" s="776"/>
      <c r="W23" s="775"/>
      <c r="X23" s="21"/>
    </row>
    <row r="24" spans="1:24" ht="15" customHeight="1" x14ac:dyDescent="0.2">
      <c r="A24" s="120" t="s">
        <v>96</v>
      </c>
      <c r="B24" s="137">
        <v>0</v>
      </c>
      <c r="C24" s="170">
        <v>0</v>
      </c>
      <c r="D24" s="137">
        <v>0</v>
      </c>
      <c r="E24" s="171">
        <v>0</v>
      </c>
      <c r="F24" s="136">
        <v>0</v>
      </c>
      <c r="G24" s="171">
        <v>0</v>
      </c>
      <c r="H24" s="136">
        <v>0</v>
      </c>
      <c r="I24" s="171">
        <v>0</v>
      </c>
      <c r="J24" s="136">
        <v>0</v>
      </c>
      <c r="K24" s="171">
        <v>0</v>
      </c>
      <c r="L24" s="136">
        <v>0</v>
      </c>
      <c r="M24" s="171">
        <v>0</v>
      </c>
      <c r="N24" s="136">
        <v>0</v>
      </c>
      <c r="O24" s="171">
        <v>0</v>
      </c>
      <c r="P24" s="136">
        <v>0</v>
      </c>
      <c r="Q24" s="171">
        <v>0</v>
      </c>
      <c r="R24" s="136">
        <v>0</v>
      </c>
      <c r="S24" s="171">
        <v>0</v>
      </c>
      <c r="T24" s="142">
        <v>0</v>
      </c>
      <c r="U24" s="866"/>
      <c r="W24" s="16">
        <f>AVERAGE(N24,L24,R24,T24,P24)</f>
        <v>0</v>
      </c>
      <c r="X24" s="271">
        <f t="shared" si="2"/>
        <v>0</v>
      </c>
    </row>
    <row r="25" spans="1:24" s="20" customFormat="1" ht="15" customHeight="1" thickBot="1" x14ac:dyDescent="0.25">
      <c r="A25" s="686" t="s">
        <v>20</v>
      </c>
      <c r="B25" s="172">
        <v>20</v>
      </c>
      <c r="C25" s="173">
        <v>6</v>
      </c>
      <c r="D25" s="172">
        <v>27</v>
      </c>
      <c r="E25" s="174">
        <v>9</v>
      </c>
      <c r="F25" s="175">
        <v>26</v>
      </c>
      <c r="G25" s="174">
        <v>8</v>
      </c>
      <c r="H25" s="175">
        <v>28</v>
      </c>
      <c r="I25" s="174">
        <v>6</v>
      </c>
      <c r="J25" s="175">
        <v>23</v>
      </c>
      <c r="K25" s="174">
        <v>9</v>
      </c>
      <c r="L25" s="175">
        <v>26</v>
      </c>
      <c r="M25" s="174">
        <v>11</v>
      </c>
      <c r="N25" s="175">
        <v>32</v>
      </c>
      <c r="O25" s="174">
        <v>5</v>
      </c>
      <c r="P25" s="175">
        <v>37</v>
      </c>
      <c r="Q25" s="174">
        <v>9</v>
      </c>
      <c r="R25" s="175">
        <v>32</v>
      </c>
      <c r="S25" s="174">
        <v>6</v>
      </c>
      <c r="T25" s="134">
        <v>32</v>
      </c>
      <c r="U25" s="834"/>
      <c r="W25" s="16">
        <f>AVERAGE(N25,L25,R25,T25,P25)</f>
        <v>31.8</v>
      </c>
      <c r="X25" s="271">
        <f t="shared" si="2"/>
        <v>8</v>
      </c>
    </row>
    <row r="26" spans="1:24" ht="18" customHeight="1" thickTop="1" thickBot="1" x14ac:dyDescent="0.25">
      <c r="A26" s="52" t="s">
        <v>68</v>
      </c>
      <c r="B26" s="979"/>
      <c r="C26" s="980"/>
      <c r="D26" s="979"/>
      <c r="E26" s="980"/>
      <c r="F26" s="979"/>
      <c r="G26" s="980"/>
      <c r="H26" s="979"/>
      <c r="I26" s="980"/>
      <c r="J26" s="979"/>
      <c r="K26" s="980"/>
      <c r="L26" s="979"/>
      <c r="M26" s="980"/>
      <c r="N26" s="979"/>
      <c r="O26" s="980"/>
      <c r="P26" s="979"/>
      <c r="Q26" s="980"/>
      <c r="R26" s="979"/>
      <c r="S26" s="980"/>
      <c r="T26" s="979"/>
      <c r="U26" s="981"/>
      <c r="W26" s="957"/>
      <c r="X26" s="958"/>
    </row>
    <row r="27" spans="1:24" ht="15" customHeight="1" x14ac:dyDescent="0.2">
      <c r="A27" s="568" t="s">
        <v>75</v>
      </c>
      <c r="B27" s="79"/>
      <c r="C27" s="82"/>
      <c r="D27" s="265"/>
      <c r="E27" s="82"/>
      <c r="F27" s="265"/>
      <c r="G27" s="82"/>
      <c r="H27" s="265"/>
      <c r="I27" s="82"/>
      <c r="J27" s="265"/>
      <c r="K27" s="82"/>
      <c r="L27" s="265"/>
      <c r="M27" s="82"/>
      <c r="N27" s="265"/>
      <c r="O27" s="82"/>
      <c r="P27" s="265"/>
      <c r="Q27" s="82"/>
      <c r="R27" s="265"/>
      <c r="S27" s="82"/>
      <c r="T27" s="265"/>
      <c r="U27" s="83"/>
      <c r="V27" s="277"/>
      <c r="W27" s="278"/>
      <c r="X27" s="614" t="e">
        <f>AVERAGE(O27,M27,S27,U27,Q27)</f>
        <v>#DIV/0!</v>
      </c>
    </row>
    <row r="28" spans="1:24" ht="15" customHeight="1" x14ac:dyDescent="0.2">
      <c r="A28" s="463" t="s">
        <v>69</v>
      </c>
      <c r="B28" s="281"/>
      <c r="C28" s="80">
        <v>0.86</v>
      </c>
      <c r="D28" s="281"/>
      <c r="E28" s="80">
        <v>0.5</v>
      </c>
      <c r="F28" s="281"/>
      <c r="G28" s="80">
        <v>0.86</v>
      </c>
      <c r="H28" s="281"/>
      <c r="I28" s="80">
        <v>0.83</v>
      </c>
      <c r="J28" s="281"/>
      <c r="K28" s="80">
        <v>0.9</v>
      </c>
      <c r="L28" s="281"/>
      <c r="M28" s="80">
        <v>0.79</v>
      </c>
      <c r="N28" s="281"/>
      <c r="O28" s="80">
        <v>0.97</v>
      </c>
      <c r="P28" s="281"/>
      <c r="Q28" s="80">
        <v>0.81</v>
      </c>
      <c r="R28" s="281"/>
      <c r="S28" s="935"/>
      <c r="T28" s="281"/>
      <c r="U28" s="828"/>
      <c r="V28" s="277"/>
      <c r="W28" s="657"/>
      <c r="X28" s="615">
        <f t="shared" ref="X28:X29" si="3">AVERAGE(O28,M28,K28,S28,Q28)</f>
        <v>0.86750000000000005</v>
      </c>
    </row>
    <row r="29" spans="1:24" ht="15" customHeight="1" x14ac:dyDescent="0.2">
      <c r="A29" s="463" t="s">
        <v>70</v>
      </c>
      <c r="B29" s="282"/>
      <c r="C29" s="81">
        <v>0.04</v>
      </c>
      <c r="D29" s="282"/>
      <c r="E29" s="81">
        <v>0.21</v>
      </c>
      <c r="F29" s="282"/>
      <c r="G29" s="81">
        <v>0.09</v>
      </c>
      <c r="H29" s="282"/>
      <c r="I29" s="81">
        <v>7.0000000000000007E-2</v>
      </c>
      <c r="J29" s="282"/>
      <c r="K29" s="81">
        <v>0.08</v>
      </c>
      <c r="L29" s="282"/>
      <c r="M29" s="81">
        <v>0.05</v>
      </c>
      <c r="N29" s="282"/>
      <c r="O29" s="81">
        <v>0.03</v>
      </c>
      <c r="P29" s="282"/>
      <c r="Q29" s="81">
        <v>0.02</v>
      </c>
      <c r="R29" s="282"/>
      <c r="S29" s="936"/>
      <c r="T29" s="282"/>
      <c r="U29" s="835"/>
      <c r="V29" s="277"/>
      <c r="W29" s="657"/>
      <c r="X29" s="615">
        <f t="shared" si="3"/>
        <v>4.4999999999999998E-2</v>
      </c>
    </row>
    <row r="30" spans="1:24" ht="15" customHeight="1" thickBot="1" x14ac:dyDescent="0.25">
      <c r="A30" s="570" t="s">
        <v>72</v>
      </c>
      <c r="B30" s="56"/>
      <c r="C30" s="57"/>
      <c r="D30" s="56"/>
      <c r="E30" s="57"/>
      <c r="F30" s="56"/>
      <c r="G30" s="57"/>
      <c r="H30" s="56"/>
      <c r="I30" s="57"/>
      <c r="J30" s="56"/>
      <c r="K30" s="57"/>
      <c r="L30" s="56"/>
      <c r="M30" s="57"/>
      <c r="N30" s="56"/>
      <c r="O30" s="57"/>
      <c r="P30" s="56"/>
      <c r="Q30" s="57"/>
      <c r="R30" s="56"/>
      <c r="S30" s="57"/>
      <c r="T30" s="56"/>
      <c r="U30" s="58"/>
      <c r="W30" s="617"/>
      <c r="X30" s="816" t="e">
        <f>AVERAGE(O30,M30,S30,U30,Q30)</f>
        <v>#DIV/0!</v>
      </c>
    </row>
    <row r="31" spans="1:24" ht="18" customHeight="1" thickTop="1" thickBot="1" x14ac:dyDescent="0.25">
      <c r="A31" s="230" t="s">
        <v>74</v>
      </c>
      <c r="B31" s="967"/>
      <c r="C31" s="968"/>
      <c r="D31" s="967"/>
      <c r="E31" s="968"/>
      <c r="F31" s="967"/>
      <c r="G31" s="968"/>
      <c r="H31" s="967"/>
      <c r="I31" s="968"/>
      <c r="J31" s="967"/>
      <c r="K31" s="968"/>
      <c r="L31" s="967"/>
      <c r="M31" s="968"/>
      <c r="N31" s="967"/>
      <c r="O31" s="968"/>
      <c r="P31" s="967"/>
      <c r="Q31" s="968"/>
      <c r="R31" s="967"/>
      <c r="S31" s="968"/>
      <c r="T31" s="967"/>
      <c r="U31" s="962"/>
      <c r="V31" s="231"/>
      <c r="W31" s="961"/>
      <c r="X31" s="962"/>
    </row>
    <row r="32" spans="1:24" ht="15" customHeight="1" thickBot="1" x14ac:dyDescent="0.25">
      <c r="A32" s="571" t="s">
        <v>113</v>
      </c>
      <c r="B32" s="232"/>
      <c r="C32" s="233">
        <v>26.9</v>
      </c>
      <c r="D32" s="232"/>
      <c r="E32" s="233">
        <v>27.2</v>
      </c>
      <c r="F32" s="232"/>
      <c r="G32" s="233">
        <v>27.1</v>
      </c>
      <c r="H32" s="232"/>
      <c r="I32" s="233">
        <v>27</v>
      </c>
      <c r="J32" s="232"/>
      <c r="K32" s="233">
        <v>26.9</v>
      </c>
      <c r="L32" s="232"/>
      <c r="M32" s="233">
        <v>27.2</v>
      </c>
      <c r="N32" s="232"/>
      <c r="O32" s="233">
        <v>27</v>
      </c>
      <c r="P32" s="232"/>
      <c r="Q32" s="233">
        <v>27</v>
      </c>
      <c r="R32" s="232"/>
      <c r="S32" s="233">
        <v>26.8</v>
      </c>
      <c r="T32" s="232"/>
      <c r="U32" s="234"/>
      <c r="V32" s="231"/>
      <c r="W32" s="235"/>
      <c r="X32" s="612">
        <f>AVERAGE(O32,M32,S32,U32,Q32)</f>
        <v>27</v>
      </c>
    </row>
    <row r="33" spans="1:27" ht="18" customHeight="1" thickTop="1" thickBot="1" x14ac:dyDescent="0.25">
      <c r="A33" s="63" t="s">
        <v>21</v>
      </c>
      <c r="B33" s="979"/>
      <c r="C33" s="980"/>
      <c r="D33" s="979"/>
      <c r="E33" s="980"/>
      <c r="F33" s="979"/>
      <c r="G33" s="980"/>
      <c r="H33" s="979"/>
      <c r="I33" s="980"/>
      <c r="J33" s="979"/>
      <c r="K33" s="980"/>
      <c r="L33" s="979"/>
      <c r="M33" s="980"/>
      <c r="N33" s="979"/>
      <c r="O33" s="980"/>
      <c r="P33" s="979"/>
      <c r="Q33" s="980"/>
      <c r="R33" s="979"/>
      <c r="S33" s="980"/>
      <c r="T33" s="979"/>
      <c r="U33" s="981"/>
      <c r="W33" s="957"/>
      <c r="X33" s="958"/>
    </row>
    <row r="34" spans="1:27" ht="15" customHeight="1" x14ac:dyDescent="0.2">
      <c r="A34" s="463" t="s">
        <v>22</v>
      </c>
      <c r="B34" s="33"/>
      <c r="C34" s="35">
        <v>783</v>
      </c>
      <c r="D34" s="32"/>
      <c r="E34" s="34">
        <v>951</v>
      </c>
      <c r="F34" s="33"/>
      <c r="G34" s="34">
        <v>988</v>
      </c>
      <c r="H34" s="33"/>
      <c r="I34" s="34">
        <v>908</v>
      </c>
      <c r="J34" s="33"/>
      <c r="K34" s="34">
        <v>910</v>
      </c>
      <c r="L34" s="33"/>
      <c r="M34" s="34">
        <v>1077</v>
      </c>
      <c r="N34" s="33"/>
      <c r="O34" s="34">
        <v>1069</v>
      </c>
      <c r="P34" s="33"/>
      <c r="Q34" s="34">
        <v>1300</v>
      </c>
      <c r="R34" s="33"/>
      <c r="S34" s="34">
        <v>1074</v>
      </c>
      <c r="T34" s="33"/>
      <c r="U34" s="822"/>
      <c r="W34" s="36"/>
      <c r="X34" s="37">
        <f t="shared" ref="X34:X38" si="4">AVERAGE(O34,M34,K34,S34,Q34)</f>
        <v>1086</v>
      </c>
    </row>
    <row r="35" spans="1:27" ht="15" customHeight="1" x14ac:dyDescent="0.2">
      <c r="A35" s="463" t="s">
        <v>23</v>
      </c>
      <c r="B35" s="33"/>
      <c r="C35" s="35">
        <v>1587</v>
      </c>
      <c r="D35" s="32"/>
      <c r="E35" s="34">
        <v>1844</v>
      </c>
      <c r="F35" s="33"/>
      <c r="G35" s="34">
        <v>2144</v>
      </c>
      <c r="H35" s="33"/>
      <c r="I35" s="34">
        <v>2340</v>
      </c>
      <c r="J35" s="33"/>
      <c r="K35" s="34">
        <v>2379</v>
      </c>
      <c r="L35" s="33"/>
      <c r="M35" s="34">
        <v>2416</v>
      </c>
      <c r="N35" s="33"/>
      <c r="O35" s="34">
        <v>2455</v>
      </c>
      <c r="P35" s="33"/>
      <c r="Q35" s="34">
        <v>2828</v>
      </c>
      <c r="R35" s="33"/>
      <c r="S35" s="34">
        <v>2742</v>
      </c>
      <c r="T35" s="33"/>
      <c r="U35" s="822"/>
      <c r="W35" s="38"/>
      <c r="X35" s="37">
        <f t="shared" si="4"/>
        <v>2564</v>
      </c>
    </row>
    <row r="36" spans="1:27" ht="15" customHeight="1" x14ac:dyDescent="0.2">
      <c r="A36" s="463" t="s">
        <v>24</v>
      </c>
      <c r="B36" s="33"/>
      <c r="C36" s="35">
        <v>479</v>
      </c>
      <c r="D36" s="32"/>
      <c r="E36" s="34">
        <v>571</v>
      </c>
      <c r="F36" s="33"/>
      <c r="G36" s="34">
        <v>602</v>
      </c>
      <c r="H36" s="33"/>
      <c r="I36" s="34">
        <v>866</v>
      </c>
      <c r="J36" s="33"/>
      <c r="K36" s="34">
        <v>778</v>
      </c>
      <c r="L36" s="33"/>
      <c r="M36" s="34">
        <v>680</v>
      </c>
      <c r="N36" s="33"/>
      <c r="O36" s="34">
        <v>747</v>
      </c>
      <c r="P36" s="33"/>
      <c r="Q36" s="34">
        <v>660</v>
      </c>
      <c r="R36" s="33"/>
      <c r="S36" s="34">
        <v>644</v>
      </c>
      <c r="T36" s="33"/>
      <c r="U36" s="822"/>
      <c r="W36" s="38"/>
      <c r="X36" s="37">
        <f t="shared" si="4"/>
        <v>701.8</v>
      </c>
    </row>
    <row r="37" spans="1:27" ht="15" customHeight="1" thickBot="1" x14ac:dyDescent="0.25">
      <c r="A37" s="610" t="s">
        <v>25</v>
      </c>
      <c r="B37" s="69"/>
      <c r="C37" s="35">
        <v>94</v>
      </c>
      <c r="D37" s="32"/>
      <c r="E37" s="34">
        <v>117</v>
      </c>
      <c r="F37" s="33"/>
      <c r="G37" s="34">
        <v>101</v>
      </c>
      <c r="H37" s="33"/>
      <c r="I37" s="34">
        <v>223</v>
      </c>
      <c r="J37" s="33"/>
      <c r="K37" s="34">
        <v>146</v>
      </c>
      <c r="L37" s="33"/>
      <c r="M37" s="34">
        <v>195</v>
      </c>
      <c r="N37" s="33"/>
      <c r="O37" s="34">
        <v>257</v>
      </c>
      <c r="P37" s="33"/>
      <c r="Q37" s="34">
        <v>195</v>
      </c>
      <c r="R37" s="33"/>
      <c r="S37" s="34">
        <v>177</v>
      </c>
      <c r="T37" s="69"/>
      <c r="U37" s="830"/>
      <c r="W37" s="45"/>
      <c r="X37" s="335">
        <f t="shared" si="4"/>
        <v>194</v>
      </c>
    </row>
    <row r="38" spans="1:27" ht="15" customHeight="1" thickBot="1" x14ac:dyDescent="0.25">
      <c r="A38" s="611" t="s">
        <v>26</v>
      </c>
      <c r="B38" s="72"/>
      <c r="C38" s="73">
        <f>SUM(C34:C37)</f>
        <v>2943</v>
      </c>
      <c r="D38" s="71"/>
      <c r="E38" s="70">
        <f>SUM(E34:E37)</f>
        <v>3483</v>
      </c>
      <c r="F38" s="72"/>
      <c r="G38" s="70">
        <f>SUM(G34:G37)</f>
        <v>3835</v>
      </c>
      <c r="H38" s="72"/>
      <c r="I38" s="70">
        <f>SUM(I34:I37)</f>
        <v>4337</v>
      </c>
      <c r="J38" s="72"/>
      <c r="K38" s="70">
        <f>SUM(K34:K37)</f>
        <v>4213</v>
      </c>
      <c r="L38" s="72"/>
      <c r="M38" s="70">
        <f>SUM(M34:M37)</f>
        <v>4368</v>
      </c>
      <c r="N38" s="72"/>
      <c r="O38" s="70">
        <f>SUM(O34:O37)</f>
        <v>4528</v>
      </c>
      <c r="P38" s="72"/>
      <c r="Q38" s="70">
        <f>SUM(Q34:Q37)</f>
        <v>4983</v>
      </c>
      <c r="R38" s="72"/>
      <c r="S38" s="70">
        <f>SUM(S34:S37)</f>
        <v>4637</v>
      </c>
      <c r="T38" s="72"/>
      <c r="U38" s="831">
        <f>SUM(U34:U37)</f>
        <v>0</v>
      </c>
      <c r="W38" s="338"/>
      <c r="X38" s="339">
        <f t="shared" si="4"/>
        <v>4545.8</v>
      </c>
    </row>
    <row r="39" spans="1:27" ht="15" customHeight="1" thickTop="1" thickBot="1" x14ac:dyDescent="0.25">
      <c r="A39" s="43"/>
      <c r="B39" s="59"/>
      <c r="C39" s="61"/>
      <c r="D39" s="59"/>
      <c r="E39" s="62"/>
      <c r="F39" s="59"/>
      <c r="G39" s="62"/>
      <c r="H39" s="59"/>
      <c r="I39" s="62"/>
      <c r="J39" s="59"/>
      <c r="K39" s="62"/>
      <c r="L39" s="59"/>
      <c r="M39" s="62"/>
      <c r="N39" s="59"/>
      <c r="O39" s="62"/>
      <c r="P39" s="59"/>
      <c r="Q39" s="62"/>
      <c r="R39" s="59"/>
      <c r="S39" s="62"/>
      <c r="T39" s="59"/>
      <c r="U39" s="62"/>
      <c r="V39" s="66"/>
      <c r="W39" s="65"/>
      <c r="X39" s="61"/>
    </row>
    <row r="40" spans="1:27" ht="18" customHeight="1" thickTop="1" thickBot="1" x14ac:dyDescent="0.25">
      <c r="A40" s="214" t="s">
        <v>27</v>
      </c>
      <c r="B40" s="955" t="s">
        <v>28</v>
      </c>
      <c r="C40" s="966"/>
      <c r="D40" s="955" t="s">
        <v>29</v>
      </c>
      <c r="E40" s="956"/>
      <c r="F40" s="955" t="s">
        <v>30</v>
      </c>
      <c r="G40" s="956"/>
      <c r="H40" s="955" t="s">
        <v>31</v>
      </c>
      <c r="I40" s="956"/>
      <c r="J40" s="955" t="s">
        <v>32</v>
      </c>
      <c r="K40" s="956"/>
      <c r="L40" s="955" t="s">
        <v>33</v>
      </c>
      <c r="M40" s="956"/>
      <c r="N40" s="955" t="s">
        <v>34</v>
      </c>
      <c r="O40" s="956"/>
      <c r="P40" s="955" t="s">
        <v>35</v>
      </c>
      <c r="Q40" s="956"/>
      <c r="R40" s="955" t="s">
        <v>36</v>
      </c>
      <c r="S40" s="956"/>
      <c r="T40" s="955" t="s">
        <v>187</v>
      </c>
      <c r="U40" s="963"/>
      <c r="V40" s="431"/>
      <c r="W40" s="961" t="s">
        <v>9</v>
      </c>
      <c r="X40" s="962"/>
      <c r="Y40" s="42"/>
      <c r="Z40" s="42"/>
      <c r="AA40" s="43"/>
    </row>
    <row r="41" spans="1:27" ht="15" customHeight="1" x14ac:dyDescent="0.2">
      <c r="A41" s="668" t="s">
        <v>143</v>
      </c>
      <c r="B41" s="215"/>
      <c r="C41" s="216">
        <v>0.41299999999999998</v>
      </c>
      <c r="D41" s="217"/>
      <c r="E41" s="218">
        <v>0.499</v>
      </c>
      <c r="F41" s="219"/>
      <c r="G41" s="218">
        <v>0.48399999999999999</v>
      </c>
      <c r="H41" s="219"/>
      <c r="I41" s="218">
        <v>0.45700000000000002</v>
      </c>
      <c r="J41" s="219"/>
      <c r="K41" s="218">
        <v>0.48099999999999998</v>
      </c>
      <c r="L41" s="219"/>
      <c r="M41" s="218">
        <v>0.45400000000000001</v>
      </c>
      <c r="N41" s="219"/>
      <c r="O41" s="218">
        <v>0.53</v>
      </c>
      <c r="P41" s="219"/>
      <c r="Q41" s="218">
        <v>0.54</v>
      </c>
      <c r="R41" s="219"/>
      <c r="S41" s="218">
        <v>0.54800000000000004</v>
      </c>
      <c r="T41" s="219"/>
      <c r="U41" s="220">
        <v>0.56200000000000006</v>
      </c>
      <c r="V41" s="428"/>
      <c r="W41" s="221"/>
      <c r="X41" s="222">
        <f>AVERAGE(O41,M41,S41,U41,Q41)</f>
        <v>0.52680000000000005</v>
      </c>
      <c r="Y41" s="42"/>
      <c r="Z41" s="42"/>
      <c r="AA41" s="43"/>
    </row>
    <row r="42" spans="1:27" ht="15" customHeight="1" x14ac:dyDescent="0.2">
      <c r="A42" s="433" t="s">
        <v>144</v>
      </c>
      <c r="B42" s="223"/>
      <c r="C42" s="224">
        <v>8.4000000000000005E-2</v>
      </c>
      <c r="D42" s="223"/>
      <c r="E42" s="224">
        <v>0.12</v>
      </c>
      <c r="F42" s="225"/>
      <c r="G42" s="224">
        <v>0.17100000000000001</v>
      </c>
      <c r="H42" s="225"/>
      <c r="I42" s="224">
        <v>0.19700000000000001</v>
      </c>
      <c r="J42" s="225"/>
      <c r="K42" s="224">
        <v>0.19600000000000001</v>
      </c>
      <c r="L42" s="225"/>
      <c r="M42" s="224">
        <v>0.191</v>
      </c>
      <c r="N42" s="225"/>
      <c r="O42" s="224">
        <v>0.14299999999999999</v>
      </c>
      <c r="P42" s="225"/>
      <c r="Q42" s="224">
        <v>0.14699999999999999</v>
      </c>
      <c r="R42" s="225"/>
      <c r="S42" s="224">
        <v>0.14399999999999999</v>
      </c>
      <c r="T42" s="225"/>
      <c r="U42" s="226">
        <v>0.13700000000000001</v>
      </c>
      <c r="V42" s="428"/>
      <c r="W42" s="227"/>
      <c r="X42" s="228">
        <f>AVERAGE(O42,M42,S42,U42,Q42)</f>
        <v>0.15240000000000001</v>
      </c>
      <c r="Y42" s="42"/>
      <c r="Z42" s="42"/>
      <c r="AA42" s="43"/>
    </row>
    <row r="43" spans="1:27" ht="15" customHeight="1" thickBot="1" x14ac:dyDescent="0.25">
      <c r="A43" s="229" t="s">
        <v>145</v>
      </c>
      <c r="B43" s="973">
        <f>1-C41-C42</f>
        <v>0.503</v>
      </c>
      <c r="C43" s="970"/>
      <c r="D43" s="973">
        <f>1-E41-E42</f>
        <v>0.38100000000000001</v>
      </c>
      <c r="E43" s="970"/>
      <c r="F43" s="973">
        <f>1-G41-G42</f>
        <v>0.34499999999999997</v>
      </c>
      <c r="G43" s="970"/>
      <c r="H43" s="973">
        <f>1-I41-I42</f>
        <v>0.34599999999999992</v>
      </c>
      <c r="I43" s="970"/>
      <c r="J43" s="973">
        <f>1-K41-K42</f>
        <v>0.32300000000000001</v>
      </c>
      <c r="K43" s="970"/>
      <c r="L43" s="973">
        <f>1-M41-M42</f>
        <v>0.35500000000000004</v>
      </c>
      <c r="M43" s="970"/>
      <c r="N43" s="973">
        <f>1-O41-O42</f>
        <v>0.32699999999999996</v>
      </c>
      <c r="O43" s="970"/>
      <c r="P43" s="973">
        <f>1-Q41-Q42</f>
        <v>0.31299999999999994</v>
      </c>
      <c r="Q43" s="970"/>
      <c r="R43" s="973">
        <f>1-S41-S42</f>
        <v>0.30799999999999994</v>
      </c>
      <c r="S43" s="970"/>
      <c r="T43" s="973">
        <f>1-U41-U42</f>
        <v>0.30099999999999993</v>
      </c>
      <c r="U43" s="972"/>
      <c r="V43" s="428"/>
      <c r="W43" s="971">
        <f>1-X41-X42</f>
        <v>0.32079999999999997</v>
      </c>
      <c r="X43" s="972"/>
      <c r="Y43" s="44"/>
      <c r="Z43" s="42"/>
      <c r="AA43" s="43"/>
    </row>
    <row r="44" spans="1:27" s="2" customFormat="1" ht="18" customHeight="1" thickTop="1" thickBot="1" x14ac:dyDescent="0.25">
      <c r="A44" s="181" t="s">
        <v>65</v>
      </c>
      <c r="B44" s="237" t="s">
        <v>37</v>
      </c>
      <c r="C44" s="238" t="s">
        <v>71</v>
      </c>
      <c r="D44" s="658" t="s">
        <v>37</v>
      </c>
      <c r="E44" s="659" t="s">
        <v>71</v>
      </c>
      <c r="F44" s="658" t="s">
        <v>37</v>
      </c>
      <c r="G44" s="659" t="s">
        <v>71</v>
      </c>
      <c r="H44" s="658" t="s">
        <v>37</v>
      </c>
      <c r="I44" s="659" t="s">
        <v>71</v>
      </c>
      <c r="J44" s="658" t="s">
        <v>37</v>
      </c>
      <c r="K44" s="659" t="s">
        <v>71</v>
      </c>
      <c r="L44" s="658" t="s">
        <v>37</v>
      </c>
      <c r="M44" s="659" t="s">
        <v>71</v>
      </c>
      <c r="N44" s="658" t="s">
        <v>37</v>
      </c>
      <c r="O44" s="659" t="s">
        <v>71</v>
      </c>
      <c r="P44" s="658" t="s">
        <v>37</v>
      </c>
      <c r="Q44" s="659" t="s">
        <v>71</v>
      </c>
      <c r="R44" s="658" t="s">
        <v>37</v>
      </c>
      <c r="S44" s="659" t="s">
        <v>71</v>
      </c>
      <c r="T44" s="658" t="s">
        <v>37</v>
      </c>
      <c r="U44" s="660" t="s">
        <v>71</v>
      </c>
      <c r="V44" s="240"/>
      <c r="W44" s="606" t="s">
        <v>37</v>
      </c>
      <c r="X44" s="660" t="s">
        <v>71</v>
      </c>
      <c r="AA44" s="439"/>
    </row>
    <row r="45" spans="1:27" ht="15" customHeight="1" x14ac:dyDescent="0.2">
      <c r="A45" s="243" t="s">
        <v>133</v>
      </c>
      <c r="B45" s="244"/>
      <c r="C45" s="245">
        <f>B45/SUM(B16,B22,B25)</f>
        <v>0</v>
      </c>
      <c r="D45" s="244"/>
      <c r="E45" s="245">
        <f>D45/SUM(D16,D22,D25)</f>
        <v>0</v>
      </c>
      <c r="F45" s="791"/>
      <c r="G45" s="871"/>
      <c r="H45" s="244">
        <v>5</v>
      </c>
      <c r="I45" s="245">
        <f>H45/SUM(H16)</f>
        <v>0.2</v>
      </c>
      <c r="J45" s="244">
        <v>2</v>
      </c>
      <c r="K45" s="245">
        <f>J45/SUM(J16)</f>
        <v>6.8965517241379309E-2</v>
      </c>
      <c r="L45" s="244">
        <v>0</v>
      </c>
      <c r="M45" s="245">
        <f>L45/SUM(L16)</f>
        <v>0</v>
      </c>
      <c r="N45" s="244"/>
      <c r="O45" s="245">
        <f>N45/SUM(N16)</f>
        <v>0</v>
      </c>
      <c r="P45" s="244">
        <v>3</v>
      </c>
      <c r="Q45" s="245">
        <f>P45/SUM(P16)</f>
        <v>0.17647058823529413</v>
      </c>
      <c r="R45" s="244">
        <v>1</v>
      </c>
      <c r="S45" s="245">
        <f>R45/SUM(R16)</f>
        <v>0.1</v>
      </c>
      <c r="T45" s="244"/>
      <c r="U45" s="418">
        <f>T45/SUM(T16)</f>
        <v>0</v>
      </c>
      <c r="V45" s="231"/>
      <c r="W45" s="604">
        <f>AVERAGE(N45,L45,R45,T45,P45)</f>
        <v>1.3333333333333333</v>
      </c>
      <c r="X45" s="247">
        <f t="shared" ref="W45:X48" si="5">AVERAGE(O45,M45,S45,U45,Q45)</f>
        <v>5.5294117647058827E-2</v>
      </c>
    </row>
    <row r="46" spans="1:27" ht="15" customHeight="1" x14ac:dyDescent="0.2">
      <c r="A46" s="186" t="s">
        <v>134</v>
      </c>
      <c r="B46" s="412"/>
      <c r="C46" s="413">
        <f>B46/SUM(B17,B23,B49)</f>
        <v>0</v>
      </c>
      <c r="D46" s="412"/>
      <c r="E46" s="413">
        <f>D46/SUM(D17,D23,D49)</f>
        <v>0</v>
      </c>
      <c r="F46" s="867"/>
      <c r="G46" s="868"/>
      <c r="H46" s="412">
        <v>1</v>
      </c>
      <c r="I46" s="413">
        <f>H46/SUM(H22)</f>
        <v>6.6666666666666666E-2</v>
      </c>
      <c r="J46" s="412">
        <v>3</v>
      </c>
      <c r="K46" s="413">
        <f>J46/SUM(J22)</f>
        <v>0.10714285714285714</v>
      </c>
      <c r="L46" s="412">
        <v>0</v>
      </c>
      <c r="M46" s="413">
        <f>L46/SUM(L22)</f>
        <v>0</v>
      </c>
      <c r="N46" s="412">
        <v>1</v>
      </c>
      <c r="O46" s="413">
        <f>N46/SUM(N22)</f>
        <v>4.1666666666666664E-2</v>
      </c>
      <c r="P46" s="412">
        <v>1</v>
      </c>
      <c r="Q46" s="413">
        <f>P46/SUM(P22)</f>
        <v>4.7619047619047616E-2</v>
      </c>
      <c r="R46" s="412">
        <v>1</v>
      </c>
      <c r="S46" s="413">
        <f>R46/SUM(R22)</f>
        <v>4.5454545454545456E-2</v>
      </c>
      <c r="T46" s="412"/>
      <c r="U46" s="259">
        <f>T46/SUM(T22)</f>
        <v>0</v>
      </c>
      <c r="V46" s="231"/>
      <c r="W46" s="604">
        <f t="shared" si="5"/>
        <v>0.75</v>
      </c>
      <c r="X46" s="247">
        <f t="shared" si="5"/>
        <v>2.694805194805195E-2</v>
      </c>
    </row>
    <row r="47" spans="1:27" ht="15" customHeight="1" x14ac:dyDescent="0.2">
      <c r="A47" s="415" t="s">
        <v>135</v>
      </c>
      <c r="B47" s="416"/>
      <c r="C47" s="417" t="e">
        <f>B47/SUM(B18,B24,#REF!)</f>
        <v>#REF!</v>
      </c>
      <c r="D47" s="416"/>
      <c r="E47" s="417">
        <v>0</v>
      </c>
      <c r="F47" s="869"/>
      <c r="G47" s="870"/>
      <c r="H47" s="416">
        <v>1</v>
      </c>
      <c r="I47" s="417">
        <f>H47/SUM(H25)</f>
        <v>3.5714285714285712E-2</v>
      </c>
      <c r="J47" s="416">
        <v>0</v>
      </c>
      <c r="K47" s="417">
        <f>J47/SUM(J25)</f>
        <v>0</v>
      </c>
      <c r="L47" s="416">
        <v>0</v>
      </c>
      <c r="M47" s="417">
        <f>L47/SUM(L25)</f>
        <v>0</v>
      </c>
      <c r="N47" s="416">
        <v>0</v>
      </c>
      <c r="O47" s="417">
        <f>N47/SUM(N25)</f>
        <v>0</v>
      </c>
      <c r="P47" s="416">
        <v>0</v>
      </c>
      <c r="Q47" s="417">
        <f>P47/SUM(P25)</f>
        <v>0</v>
      </c>
      <c r="R47" s="416">
        <v>0</v>
      </c>
      <c r="S47" s="417">
        <f>R47/SUM(R25)</f>
        <v>0</v>
      </c>
      <c r="T47" s="416"/>
      <c r="U47" s="434">
        <f>T47/SUM(T25)</f>
        <v>0</v>
      </c>
      <c r="V47" s="231"/>
      <c r="W47" s="604">
        <f t="shared" si="5"/>
        <v>0</v>
      </c>
      <c r="X47" s="247">
        <f t="shared" si="5"/>
        <v>0</v>
      </c>
    </row>
    <row r="48" spans="1:27" ht="15" customHeight="1" thickBot="1" x14ac:dyDescent="0.25">
      <c r="A48" s="248" t="s">
        <v>67</v>
      </c>
      <c r="B48" s="249"/>
      <c r="C48" s="250">
        <f>B48/B17</f>
        <v>0</v>
      </c>
      <c r="D48" s="249"/>
      <c r="E48" s="250">
        <f>D48/D17</f>
        <v>0</v>
      </c>
      <c r="F48" s="792"/>
      <c r="G48" s="872"/>
      <c r="H48" s="249">
        <v>15</v>
      </c>
      <c r="I48" s="250">
        <f>H48/H17</f>
        <v>0.9375</v>
      </c>
      <c r="J48" s="249">
        <v>11</v>
      </c>
      <c r="K48" s="250">
        <f>J48/J17</f>
        <v>0.57894736842105265</v>
      </c>
      <c r="L48" s="249">
        <v>13</v>
      </c>
      <c r="M48" s="250">
        <f>L48/L17</f>
        <v>0.76470588235294112</v>
      </c>
      <c r="N48" s="249">
        <v>13</v>
      </c>
      <c r="O48" s="250">
        <f>N48/N17</f>
        <v>0.76470588235294112</v>
      </c>
      <c r="P48" s="249">
        <v>11</v>
      </c>
      <c r="Q48" s="250">
        <f>P48/P17</f>
        <v>0.7857142857142857</v>
      </c>
      <c r="R48" s="249">
        <v>11</v>
      </c>
      <c r="S48" s="250">
        <f>R48/R17</f>
        <v>0.61111111111111116</v>
      </c>
      <c r="T48" s="249"/>
      <c r="U48" s="251">
        <f>T48/T17</f>
        <v>0</v>
      </c>
      <c r="V48" s="231"/>
      <c r="W48" s="604">
        <f t="shared" si="5"/>
        <v>12</v>
      </c>
      <c r="X48" s="247">
        <f t="shared" si="5"/>
        <v>0.58524743230625575</v>
      </c>
    </row>
    <row r="49" spans="1:24" ht="15" customHeight="1" thickTop="1" x14ac:dyDescent="0.2">
      <c r="A49" s="27" t="s">
        <v>175</v>
      </c>
      <c r="B49" s="28"/>
      <c r="C49" s="29"/>
      <c r="D49" s="28"/>
      <c r="E49" s="29"/>
      <c r="F49" s="28"/>
      <c r="G49" s="29"/>
      <c r="H49" s="28"/>
      <c r="I49" s="29"/>
      <c r="J49" s="28"/>
      <c r="K49" s="29"/>
      <c r="L49" s="28"/>
      <c r="M49" s="29"/>
      <c r="N49" s="28"/>
      <c r="O49" s="29"/>
      <c r="P49" s="28"/>
      <c r="Q49" s="29"/>
      <c r="R49" s="28"/>
      <c r="S49" s="29"/>
      <c r="T49" s="28"/>
      <c r="U49" s="29"/>
      <c r="V49" s="66"/>
      <c r="W49" s="30"/>
      <c r="X49" s="31"/>
    </row>
    <row r="50" spans="1:24" s="1" customFormat="1" ht="15" customHeight="1" thickBot="1" x14ac:dyDescent="0.25">
      <c r="A50" s="310"/>
      <c r="B50" s="311"/>
      <c r="C50" s="429"/>
      <c r="D50" s="311"/>
      <c r="E50" s="429"/>
      <c r="F50" s="311"/>
      <c r="G50" s="429"/>
      <c r="H50" s="311"/>
      <c r="I50" s="429"/>
      <c r="J50" s="311"/>
      <c r="K50" s="429"/>
      <c r="L50" s="311"/>
      <c r="M50" s="429"/>
      <c r="N50" s="311"/>
      <c r="O50" s="429"/>
      <c r="P50" s="311"/>
      <c r="Q50" s="429"/>
      <c r="R50" s="311"/>
      <c r="S50" s="429"/>
      <c r="T50" s="311"/>
      <c r="U50" s="429"/>
      <c r="V50" s="182"/>
      <c r="W50" s="182"/>
      <c r="X50" s="430"/>
    </row>
    <row r="51" spans="1:24" s="1" customFormat="1" ht="18.75" customHeight="1" thickTop="1" thickBot="1" x14ac:dyDescent="0.25">
      <c r="A51" s="214" t="s">
        <v>161</v>
      </c>
      <c r="B51" s="955" t="s">
        <v>28</v>
      </c>
      <c r="C51" s="966"/>
      <c r="D51" s="955" t="s">
        <v>29</v>
      </c>
      <c r="E51" s="956"/>
      <c r="F51" s="955" t="s">
        <v>30</v>
      </c>
      <c r="G51" s="956"/>
      <c r="H51" s="955" t="s">
        <v>31</v>
      </c>
      <c r="I51" s="956"/>
      <c r="J51" s="955" t="s">
        <v>32</v>
      </c>
      <c r="K51" s="956"/>
      <c r="L51" s="955" t="s">
        <v>33</v>
      </c>
      <c r="M51" s="956"/>
      <c r="N51" s="955" t="s">
        <v>34</v>
      </c>
      <c r="O51" s="956"/>
      <c r="P51" s="955" t="s">
        <v>35</v>
      </c>
      <c r="Q51" s="956"/>
      <c r="R51" s="955" t="s">
        <v>36</v>
      </c>
      <c r="S51" s="956"/>
      <c r="T51" s="955" t="s">
        <v>187</v>
      </c>
      <c r="U51" s="963"/>
      <c r="V51" s="182"/>
      <c r="W51" s="961" t="s">
        <v>9</v>
      </c>
      <c r="X51" s="962"/>
    </row>
    <row r="52" spans="1:24" s="1" customFormat="1" ht="24" x14ac:dyDescent="0.2">
      <c r="A52" s="504" t="s">
        <v>167</v>
      </c>
      <c r="B52" s="505"/>
      <c r="C52" s="506"/>
      <c r="D52" s="505"/>
      <c r="E52" s="507"/>
      <c r="F52" s="505"/>
      <c r="G52" s="507"/>
      <c r="H52" s="505"/>
      <c r="I52" s="507"/>
      <c r="J52" s="505"/>
      <c r="K52" s="507"/>
      <c r="L52" s="505"/>
      <c r="M52" s="507"/>
      <c r="N52" s="505"/>
      <c r="O52" s="507"/>
      <c r="P52" s="505"/>
      <c r="Q52" s="507"/>
      <c r="R52" s="505"/>
      <c r="S52" s="507"/>
      <c r="T52" s="505"/>
      <c r="U52" s="508"/>
      <c r="V52" s="509"/>
      <c r="W52" s="812"/>
      <c r="X52" s="813"/>
    </row>
    <row r="53" spans="1:24" s="1" customFormat="1" ht="24" x14ac:dyDescent="0.2">
      <c r="A53" s="534" t="s">
        <v>140</v>
      </c>
      <c r="B53" s="225"/>
      <c r="C53" s="421">
        <f>9+1</f>
        <v>10</v>
      </c>
      <c r="D53" s="225"/>
      <c r="E53" s="421">
        <f>9+1</f>
        <v>10</v>
      </c>
      <c r="F53" s="225"/>
      <c r="G53" s="421">
        <v>10</v>
      </c>
      <c r="H53" s="225"/>
      <c r="I53" s="421">
        <v>10</v>
      </c>
      <c r="J53" s="225"/>
      <c r="K53" s="421">
        <v>10</v>
      </c>
      <c r="L53" s="225"/>
      <c r="M53" s="421">
        <v>9</v>
      </c>
      <c r="N53" s="225"/>
      <c r="O53" s="421">
        <v>8</v>
      </c>
      <c r="P53" s="225"/>
      <c r="Q53" s="421">
        <v>8</v>
      </c>
      <c r="R53" s="225"/>
      <c r="S53" s="421">
        <v>9</v>
      </c>
      <c r="T53" s="422"/>
      <c r="U53" s="297"/>
      <c r="V53" s="182"/>
      <c r="W53" s="573"/>
      <c r="X53" s="297">
        <f>AVERAGE(O53,M53,S53,U53,Q53)</f>
        <v>8.5</v>
      </c>
    </row>
    <row r="54" spans="1:24" s="1" customFormat="1" ht="24" x14ac:dyDescent="0.2">
      <c r="A54" s="534" t="s">
        <v>142</v>
      </c>
      <c r="B54" s="422"/>
      <c r="C54" s="515">
        <v>9</v>
      </c>
      <c r="D54" s="422"/>
      <c r="E54" s="515">
        <f>9+1</f>
        <v>10</v>
      </c>
      <c r="F54" s="422"/>
      <c r="G54" s="515">
        <v>10</v>
      </c>
      <c r="H54" s="422"/>
      <c r="I54" s="515">
        <v>10</v>
      </c>
      <c r="J54" s="422"/>
      <c r="K54" s="515">
        <v>10</v>
      </c>
      <c r="L54" s="422"/>
      <c r="M54" s="515">
        <v>9</v>
      </c>
      <c r="N54" s="422"/>
      <c r="O54" s="515">
        <v>8</v>
      </c>
      <c r="P54" s="422"/>
      <c r="Q54" s="515">
        <v>8</v>
      </c>
      <c r="R54" s="422"/>
      <c r="S54" s="515">
        <v>9</v>
      </c>
      <c r="T54" s="422"/>
      <c r="U54" s="297"/>
      <c r="V54" s="182"/>
      <c r="W54" s="574"/>
      <c r="X54" s="575">
        <f>AVERAGE(O54,M54,S54,U54,Q54)</f>
        <v>8.5</v>
      </c>
    </row>
    <row r="55" spans="1:24" s="1" customFormat="1" ht="15" customHeight="1" thickBot="1" x14ac:dyDescent="0.25">
      <c r="A55" s="581" t="s">
        <v>141</v>
      </c>
      <c r="B55" s="582"/>
      <c r="C55" s="583">
        <f>8.5+0.98</f>
        <v>9.48</v>
      </c>
      <c r="D55" s="582"/>
      <c r="E55" s="583">
        <f>8.58+0.98</f>
        <v>9.56</v>
      </c>
      <c r="F55" s="582"/>
      <c r="G55" s="583">
        <v>9.56</v>
      </c>
      <c r="H55" s="582"/>
      <c r="I55" s="583">
        <v>9.92</v>
      </c>
      <c r="J55" s="582"/>
      <c r="K55" s="583">
        <v>10.1</v>
      </c>
      <c r="L55" s="582"/>
      <c r="M55" s="583">
        <v>9.06</v>
      </c>
      <c r="N55" s="582"/>
      <c r="O55" s="583">
        <v>8</v>
      </c>
      <c r="P55" s="582"/>
      <c r="Q55" s="583">
        <v>8</v>
      </c>
      <c r="R55" s="582"/>
      <c r="S55" s="583">
        <v>9</v>
      </c>
      <c r="T55" s="584"/>
      <c r="U55" s="298"/>
      <c r="V55" s="182"/>
      <c r="W55" s="814"/>
      <c r="X55" s="815">
        <f>AVERAGE(O55,M55,S55,U55,Q55)</f>
        <v>8.5150000000000006</v>
      </c>
    </row>
    <row r="56" spans="1:24" s="1" customFormat="1" ht="18" customHeight="1" thickBot="1" x14ac:dyDescent="0.25">
      <c r="A56" s="532" t="s">
        <v>172</v>
      </c>
      <c r="B56" s="649" t="s">
        <v>38</v>
      </c>
      <c r="C56" s="650" t="s">
        <v>39</v>
      </c>
      <c r="D56" s="589" t="s">
        <v>38</v>
      </c>
      <c r="E56" s="486" t="s">
        <v>39</v>
      </c>
      <c r="F56" s="589" t="s">
        <v>38</v>
      </c>
      <c r="G56" s="486" t="s">
        <v>39</v>
      </c>
      <c r="H56" s="589" t="s">
        <v>38</v>
      </c>
      <c r="I56" s="486" t="s">
        <v>39</v>
      </c>
      <c r="J56" s="589" t="s">
        <v>38</v>
      </c>
      <c r="K56" s="486" t="s">
        <v>39</v>
      </c>
      <c r="L56" s="589" t="s">
        <v>38</v>
      </c>
      <c r="M56" s="486" t="s">
        <v>39</v>
      </c>
      <c r="N56" s="589" t="s">
        <v>38</v>
      </c>
      <c r="O56" s="486" t="s">
        <v>39</v>
      </c>
      <c r="P56" s="589" t="s">
        <v>38</v>
      </c>
      <c r="Q56" s="486" t="s">
        <v>39</v>
      </c>
      <c r="R56" s="589" t="s">
        <v>38</v>
      </c>
      <c r="S56" s="486" t="s">
        <v>39</v>
      </c>
      <c r="T56" s="589" t="s">
        <v>38</v>
      </c>
      <c r="U56" s="487" t="s">
        <v>39</v>
      </c>
      <c r="W56" s="590" t="s">
        <v>38</v>
      </c>
      <c r="X56" s="483" t="s">
        <v>188</v>
      </c>
    </row>
    <row r="57" spans="1:24" s="1" customFormat="1" ht="15" customHeight="1" x14ac:dyDescent="0.2">
      <c r="A57" s="489" t="s">
        <v>40</v>
      </c>
      <c r="B57" s="363"/>
      <c r="C57" s="168"/>
      <c r="D57" s="141"/>
      <c r="E57" s="585"/>
      <c r="F57" s="142"/>
      <c r="G57" s="585"/>
      <c r="H57" s="142"/>
      <c r="I57" s="585"/>
      <c r="J57" s="142"/>
      <c r="K57" s="585"/>
      <c r="L57" s="142"/>
      <c r="M57" s="585"/>
      <c r="N57" s="142"/>
      <c r="O57" s="585"/>
      <c r="P57" s="142"/>
      <c r="Q57" s="585"/>
      <c r="R57" s="142"/>
      <c r="S57" s="585"/>
      <c r="T57" s="142"/>
      <c r="U57" s="586"/>
      <c r="W57" s="566"/>
      <c r="X57" s="806"/>
    </row>
    <row r="58" spans="1:24" s="1" customFormat="1" ht="15" customHeight="1" x14ac:dyDescent="0.2">
      <c r="A58" s="464" t="s">
        <v>41</v>
      </c>
      <c r="B58" s="425"/>
      <c r="C58" s="35">
        <v>10</v>
      </c>
      <c r="D58" s="128"/>
      <c r="E58" s="147">
        <v>10</v>
      </c>
      <c r="F58" s="129"/>
      <c r="G58" s="147">
        <v>11</v>
      </c>
      <c r="H58" s="129"/>
      <c r="I58" s="147">
        <v>11</v>
      </c>
      <c r="J58" s="572">
        <v>11</v>
      </c>
      <c r="K58" s="147">
        <v>11</v>
      </c>
      <c r="L58" s="572">
        <v>10</v>
      </c>
      <c r="M58" s="147">
        <v>10</v>
      </c>
      <c r="N58" s="572">
        <v>9</v>
      </c>
      <c r="O58" s="147">
        <v>9</v>
      </c>
      <c r="P58" s="572">
        <v>9</v>
      </c>
      <c r="Q58" s="147">
        <v>9</v>
      </c>
      <c r="R58" s="572">
        <v>11</v>
      </c>
      <c r="S58" s="147">
        <v>11</v>
      </c>
      <c r="T58" s="572"/>
      <c r="U58" s="458"/>
      <c r="W58" s="807">
        <f>AVERAGE(N58,L58,R58,T58,P58)</f>
        <v>9.75</v>
      </c>
      <c r="X58" s="808">
        <f>AVERAGE(O58,M58,S58,U58,Q58)</f>
        <v>9.75</v>
      </c>
    </row>
    <row r="59" spans="1:24" s="1" customFormat="1" ht="15" customHeight="1" x14ac:dyDescent="0.2">
      <c r="A59" s="464" t="s">
        <v>42</v>
      </c>
      <c r="B59" s="425"/>
      <c r="C59" s="35">
        <v>0</v>
      </c>
      <c r="D59" s="128"/>
      <c r="E59" s="147">
        <v>1</v>
      </c>
      <c r="F59" s="129"/>
      <c r="G59" s="147">
        <v>0</v>
      </c>
      <c r="H59" s="129"/>
      <c r="I59" s="147">
        <v>2</v>
      </c>
      <c r="J59" s="572">
        <v>0</v>
      </c>
      <c r="K59" s="147">
        <v>0</v>
      </c>
      <c r="L59" s="13">
        <v>0.5</v>
      </c>
      <c r="M59" s="147">
        <v>1</v>
      </c>
      <c r="N59" s="13">
        <v>0.5</v>
      </c>
      <c r="O59" s="147">
        <v>1</v>
      </c>
      <c r="P59" s="13">
        <v>0.5</v>
      </c>
      <c r="Q59" s="147">
        <v>1</v>
      </c>
      <c r="R59" s="13">
        <v>0.5</v>
      </c>
      <c r="S59" s="147">
        <v>1</v>
      </c>
      <c r="T59" s="13"/>
      <c r="U59" s="458"/>
      <c r="W59" s="807">
        <f t="shared" ref="W59:X62" si="6">AVERAGE(N59,L59,R59,T59,P59)</f>
        <v>0.5</v>
      </c>
      <c r="X59" s="808">
        <f t="shared" si="6"/>
        <v>1</v>
      </c>
    </row>
    <row r="60" spans="1:24" s="1" customFormat="1" ht="15" customHeight="1" x14ac:dyDescent="0.2">
      <c r="A60" s="466" t="s">
        <v>43</v>
      </c>
      <c r="B60" s="33"/>
      <c r="C60" s="40"/>
      <c r="D60" s="11"/>
      <c r="E60" s="455"/>
      <c r="F60" s="13"/>
      <c r="G60" s="455"/>
      <c r="H60" s="13"/>
      <c r="I60" s="455"/>
      <c r="J60" s="572"/>
      <c r="K60" s="455"/>
      <c r="L60" s="13"/>
      <c r="M60" s="455"/>
      <c r="N60" s="13"/>
      <c r="O60" s="455"/>
      <c r="P60" s="13"/>
      <c r="Q60" s="455"/>
      <c r="R60" s="13"/>
      <c r="S60" s="455"/>
      <c r="T60" s="13"/>
      <c r="U60" s="459"/>
      <c r="W60" s="807"/>
      <c r="X60" s="808"/>
    </row>
    <row r="61" spans="1:24" s="1" customFormat="1" ht="15" customHeight="1" x14ac:dyDescent="0.2">
      <c r="A61" s="464" t="s">
        <v>41</v>
      </c>
      <c r="B61" s="425"/>
      <c r="C61" s="40">
        <v>0</v>
      </c>
      <c r="D61" s="128"/>
      <c r="E61" s="455">
        <v>0</v>
      </c>
      <c r="F61" s="129"/>
      <c r="G61" s="455">
        <v>0</v>
      </c>
      <c r="H61" s="129"/>
      <c r="I61" s="455">
        <v>0</v>
      </c>
      <c r="J61" s="572">
        <v>1</v>
      </c>
      <c r="K61" s="455">
        <v>1</v>
      </c>
      <c r="L61" s="572">
        <v>2</v>
      </c>
      <c r="M61" s="455">
        <v>2</v>
      </c>
      <c r="N61" s="572">
        <v>1</v>
      </c>
      <c r="O61" s="455">
        <v>1</v>
      </c>
      <c r="P61" s="572">
        <v>1</v>
      </c>
      <c r="Q61" s="455">
        <v>1</v>
      </c>
      <c r="R61" s="572">
        <v>2</v>
      </c>
      <c r="S61" s="455">
        <v>2</v>
      </c>
      <c r="T61" s="572"/>
      <c r="U61" s="459"/>
      <c r="W61" s="807">
        <f t="shared" si="6"/>
        <v>1.5</v>
      </c>
      <c r="X61" s="808">
        <f t="shared" si="6"/>
        <v>1.5</v>
      </c>
    </row>
    <row r="62" spans="1:24" s="1" customFormat="1" ht="15" customHeight="1" thickBot="1" x14ac:dyDescent="0.25">
      <c r="A62" s="465" t="s">
        <v>42</v>
      </c>
      <c r="B62" s="427"/>
      <c r="C62" s="468">
        <v>0</v>
      </c>
      <c r="D62" s="469"/>
      <c r="E62" s="470">
        <v>0</v>
      </c>
      <c r="F62" s="656"/>
      <c r="G62" s="470">
        <v>0</v>
      </c>
      <c r="H62" s="656"/>
      <c r="I62" s="470">
        <v>0</v>
      </c>
      <c r="J62" s="591">
        <v>0</v>
      </c>
      <c r="K62" s="470">
        <v>0</v>
      </c>
      <c r="L62" s="591">
        <v>0</v>
      </c>
      <c r="M62" s="470">
        <v>0</v>
      </c>
      <c r="N62" s="591">
        <v>0</v>
      </c>
      <c r="O62" s="470">
        <v>0</v>
      </c>
      <c r="P62" s="591">
        <v>0</v>
      </c>
      <c r="Q62" s="470">
        <v>0</v>
      </c>
      <c r="R62" s="591">
        <v>0</v>
      </c>
      <c r="S62" s="470">
        <v>0</v>
      </c>
      <c r="T62" s="591"/>
      <c r="U62" s="472"/>
      <c r="W62" s="807">
        <f t="shared" si="6"/>
        <v>0</v>
      </c>
      <c r="X62" s="808">
        <f t="shared" si="6"/>
        <v>0</v>
      </c>
    </row>
    <row r="63" spans="1:24" s="1" customFormat="1" ht="15" customHeight="1" thickBot="1" x14ac:dyDescent="0.25">
      <c r="A63" s="473" t="s">
        <v>26</v>
      </c>
      <c r="B63" s="595"/>
      <c r="C63" s="596">
        <f>SUM(C58:C62)</f>
        <v>10</v>
      </c>
      <c r="D63" s="475"/>
      <c r="E63" s="478">
        <f>SUM(E58:E62)</f>
        <v>11</v>
      </c>
      <c r="F63" s="597"/>
      <c r="G63" s="478">
        <f>SUM(G58:G62)</f>
        <v>11</v>
      </c>
      <c r="H63" s="597"/>
      <c r="I63" s="478">
        <f>SUM(I58:I62)</f>
        <v>13</v>
      </c>
      <c r="J63" s="598">
        <f t="shared" ref="J63:S63" si="7">SUM(J58:J62)</f>
        <v>12</v>
      </c>
      <c r="K63" s="478">
        <f t="shared" si="7"/>
        <v>12</v>
      </c>
      <c r="L63" s="598">
        <f t="shared" si="7"/>
        <v>12.5</v>
      </c>
      <c r="M63" s="478">
        <f t="shared" si="7"/>
        <v>13</v>
      </c>
      <c r="N63" s="598">
        <f t="shared" si="7"/>
        <v>10.5</v>
      </c>
      <c r="O63" s="478">
        <f t="shared" si="7"/>
        <v>11</v>
      </c>
      <c r="P63" s="598">
        <f t="shared" si="7"/>
        <v>10.5</v>
      </c>
      <c r="Q63" s="478">
        <f t="shared" si="7"/>
        <v>11</v>
      </c>
      <c r="R63" s="598">
        <f t="shared" si="7"/>
        <v>13.5</v>
      </c>
      <c r="S63" s="478">
        <f t="shared" si="7"/>
        <v>14</v>
      </c>
      <c r="T63" s="598">
        <f t="shared" ref="T63:U63" si="8">SUM(T58:T62)</f>
        <v>0</v>
      </c>
      <c r="U63" s="479">
        <f t="shared" si="8"/>
        <v>0</v>
      </c>
      <c r="W63" s="809">
        <f>AVERAGE(N63,L63,R63,T63,P63)</f>
        <v>9.4</v>
      </c>
      <c r="X63" s="810">
        <f>AVERAGE(O63,M63,S63,U63,Q63)</f>
        <v>9.8000000000000007</v>
      </c>
    </row>
    <row r="64" spans="1:24" s="1" customFormat="1" ht="18" customHeight="1" thickBot="1" x14ac:dyDescent="0.25">
      <c r="A64" s="532" t="s">
        <v>171</v>
      </c>
      <c r="B64" s="539" t="s">
        <v>37</v>
      </c>
      <c r="C64" s="540" t="s">
        <v>44</v>
      </c>
      <c r="D64" s="539" t="s">
        <v>37</v>
      </c>
      <c r="E64" s="541" t="s">
        <v>44</v>
      </c>
      <c r="F64" s="542" t="s">
        <v>37</v>
      </c>
      <c r="G64" s="541" t="s">
        <v>44</v>
      </c>
      <c r="H64" s="542" t="s">
        <v>37</v>
      </c>
      <c r="I64" s="541" t="s">
        <v>44</v>
      </c>
      <c r="J64" s="542" t="s">
        <v>37</v>
      </c>
      <c r="K64" s="541" t="s">
        <v>44</v>
      </c>
      <c r="L64" s="542" t="s">
        <v>37</v>
      </c>
      <c r="M64" s="541" t="s">
        <v>44</v>
      </c>
      <c r="N64" s="542" t="s">
        <v>37</v>
      </c>
      <c r="O64" s="541" t="s">
        <v>44</v>
      </c>
      <c r="P64" s="542" t="s">
        <v>37</v>
      </c>
      <c r="Q64" s="541" t="s">
        <v>44</v>
      </c>
      <c r="R64" s="542" t="s">
        <v>37</v>
      </c>
      <c r="S64" s="541" t="s">
        <v>44</v>
      </c>
      <c r="T64" s="542" t="s">
        <v>37</v>
      </c>
      <c r="U64" s="543" t="s">
        <v>44</v>
      </c>
      <c r="V64" s="182"/>
      <c r="W64" s="482" t="s">
        <v>37</v>
      </c>
      <c r="X64" s="543" t="s">
        <v>44</v>
      </c>
    </row>
    <row r="65" spans="1:24" s="1" customFormat="1" ht="18" customHeight="1" x14ac:dyDescent="0.2">
      <c r="A65" s="530" t="s">
        <v>164</v>
      </c>
      <c r="B65" s="528"/>
      <c r="C65" s="183"/>
      <c r="D65" s="528"/>
      <c r="E65" s="184"/>
      <c r="F65" s="529"/>
      <c r="G65" s="184"/>
      <c r="H65" s="529"/>
      <c r="I65" s="184"/>
      <c r="J65" s="529"/>
      <c r="K65" s="184"/>
      <c r="L65" s="529"/>
      <c r="M65" s="184"/>
      <c r="N65" s="529"/>
      <c r="O65" s="184"/>
      <c r="P65" s="529"/>
      <c r="Q65" s="184"/>
      <c r="R65" s="529"/>
      <c r="S65" s="184"/>
      <c r="T65" s="529"/>
      <c r="U65" s="185"/>
      <c r="V65" s="182"/>
      <c r="W65" s="480"/>
      <c r="X65" s="602"/>
    </row>
    <row r="66" spans="1:24" s="1" customFormat="1" ht="15" customHeight="1" x14ac:dyDescent="0.2">
      <c r="A66" s="186" t="s">
        <v>45</v>
      </c>
      <c r="B66" s="187">
        <v>5</v>
      </c>
      <c r="C66" s="188">
        <f t="shared" ref="C66:C73" si="9">B66/C$63</f>
        <v>0.5</v>
      </c>
      <c r="D66" s="187">
        <v>6</v>
      </c>
      <c r="E66" s="189">
        <f t="shared" ref="E66:K73" si="10">D66/E$63</f>
        <v>0.54545454545454541</v>
      </c>
      <c r="F66" s="190">
        <v>6</v>
      </c>
      <c r="G66" s="189">
        <f t="shared" si="10"/>
        <v>0.54545454545454541</v>
      </c>
      <c r="H66" s="190">
        <v>8</v>
      </c>
      <c r="I66" s="189">
        <f t="shared" ref="I66:I73" si="11">H66/I$63</f>
        <v>0.61538461538461542</v>
      </c>
      <c r="J66" s="190">
        <f>7</f>
        <v>7</v>
      </c>
      <c r="K66" s="189">
        <f t="shared" si="10"/>
        <v>0.58333333333333337</v>
      </c>
      <c r="L66" s="190">
        <v>7</v>
      </c>
      <c r="M66" s="189">
        <f t="shared" ref="M66:M71" si="12">L66/M$63</f>
        <v>0.53846153846153844</v>
      </c>
      <c r="N66" s="190">
        <v>6</v>
      </c>
      <c r="O66" s="189">
        <f t="shared" ref="O66:Q71" si="13">N66/O$63</f>
        <v>0.54545454545454541</v>
      </c>
      <c r="P66" s="190">
        <v>6</v>
      </c>
      <c r="Q66" s="189">
        <f t="shared" si="13"/>
        <v>0.54545454545454541</v>
      </c>
      <c r="R66" s="190">
        <v>8</v>
      </c>
      <c r="S66" s="189">
        <f t="shared" ref="S66:S71" si="14">R66/S$63</f>
        <v>0.5714285714285714</v>
      </c>
      <c r="T66" s="190"/>
      <c r="U66" s="191" t="e">
        <f t="shared" ref="U66:U71" si="15">T66/U$63</f>
        <v>#DIV/0!</v>
      </c>
      <c r="V66" s="192"/>
      <c r="W66" s="807">
        <f t="shared" ref="W66:W85" si="16">AVERAGE(N66,L66,R66,T66,P66)</f>
        <v>6.75</v>
      </c>
      <c r="X66" s="193" t="e">
        <f>AVERAGE(O66,M66,U66,S66,Q66)</f>
        <v>#DIV/0!</v>
      </c>
    </row>
    <row r="67" spans="1:24" s="1" customFormat="1" ht="15" customHeight="1" x14ac:dyDescent="0.2">
      <c r="A67" s="194" t="s">
        <v>46</v>
      </c>
      <c r="B67" s="187">
        <v>0</v>
      </c>
      <c r="C67" s="188">
        <f t="shared" si="9"/>
        <v>0</v>
      </c>
      <c r="D67" s="187">
        <v>0</v>
      </c>
      <c r="E67" s="189">
        <f t="shared" si="10"/>
        <v>0</v>
      </c>
      <c r="F67" s="190">
        <v>0</v>
      </c>
      <c r="G67" s="189">
        <f t="shared" si="10"/>
        <v>0</v>
      </c>
      <c r="H67" s="190">
        <v>0</v>
      </c>
      <c r="I67" s="189">
        <f t="shared" si="11"/>
        <v>0</v>
      </c>
      <c r="J67" s="190">
        <f>0</f>
        <v>0</v>
      </c>
      <c r="K67" s="189">
        <f t="shared" si="10"/>
        <v>0</v>
      </c>
      <c r="L67" s="190">
        <v>0</v>
      </c>
      <c r="M67" s="189">
        <f t="shared" si="12"/>
        <v>0</v>
      </c>
      <c r="N67" s="190">
        <v>0</v>
      </c>
      <c r="O67" s="189">
        <f t="shared" si="13"/>
        <v>0</v>
      </c>
      <c r="P67" s="190">
        <v>0</v>
      </c>
      <c r="Q67" s="189">
        <f t="shared" si="13"/>
        <v>0</v>
      </c>
      <c r="R67" s="190">
        <v>0</v>
      </c>
      <c r="S67" s="189">
        <f t="shared" si="14"/>
        <v>0</v>
      </c>
      <c r="T67" s="190"/>
      <c r="U67" s="191" t="e">
        <f t="shared" si="15"/>
        <v>#DIV/0!</v>
      </c>
      <c r="V67" s="192"/>
      <c r="W67" s="807">
        <f t="shared" si="16"/>
        <v>0</v>
      </c>
      <c r="X67" s="193" t="e">
        <f t="shared" ref="X67:X85" si="17">AVERAGE(O67,M67,U67,S67,Q67)</f>
        <v>#DIV/0!</v>
      </c>
    </row>
    <row r="68" spans="1:24" s="1" customFormat="1" ht="15" customHeight="1" x14ac:dyDescent="0.2">
      <c r="A68" s="194" t="s">
        <v>47</v>
      </c>
      <c r="B68" s="187">
        <v>0</v>
      </c>
      <c r="C68" s="188">
        <f t="shared" si="9"/>
        <v>0</v>
      </c>
      <c r="D68" s="187">
        <v>0</v>
      </c>
      <c r="E68" s="189">
        <f t="shared" si="10"/>
        <v>0</v>
      </c>
      <c r="F68" s="190">
        <v>0</v>
      </c>
      <c r="G68" s="189">
        <f t="shared" si="10"/>
        <v>0</v>
      </c>
      <c r="H68" s="190">
        <v>0</v>
      </c>
      <c r="I68" s="189">
        <f t="shared" si="11"/>
        <v>0</v>
      </c>
      <c r="J68" s="190">
        <f>0</f>
        <v>0</v>
      </c>
      <c r="K68" s="189">
        <f t="shared" si="10"/>
        <v>0</v>
      </c>
      <c r="L68" s="190">
        <v>0</v>
      </c>
      <c r="M68" s="189">
        <f t="shared" si="12"/>
        <v>0</v>
      </c>
      <c r="N68" s="190">
        <v>0</v>
      </c>
      <c r="O68" s="189">
        <f t="shared" si="13"/>
        <v>0</v>
      </c>
      <c r="P68" s="190">
        <v>0</v>
      </c>
      <c r="Q68" s="189">
        <f t="shared" si="13"/>
        <v>0</v>
      </c>
      <c r="R68" s="190">
        <v>0</v>
      </c>
      <c r="S68" s="189">
        <f t="shared" si="14"/>
        <v>0</v>
      </c>
      <c r="T68" s="190"/>
      <c r="U68" s="191" t="e">
        <f t="shared" si="15"/>
        <v>#DIV/0!</v>
      </c>
      <c r="V68" s="192"/>
      <c r="W68" s="807">
        <f t="shared" si="16"/>
        <v>0</v>
      </c>
      <c r="X68" s="193" t="e">
        <f t="shared" si="17"/>
        <v>#DIV/0!</v>
      </c>
    </row>
    <row r="69" spans="1:24" s="1" customFormat="1" ht="15" customHeight="1" x14ac:dyDescent="0.2">
      <c r="A69" s="194" t="s">
        <v>48</v>
      </c>
      <c r="B69" s="187">
        <v>0</v>
      </c>
      <c r="C69" s="188">
        <f t="shared" si="9"/>
        <v>0</v>
      </c>
      <c r="D69" s="187">
        <v>0</v>
      </c>
      <c r="E69" s="189">
        <f t="shared" si="10"/>
        <v>0</v>
      </c>
      <c r="F69" s="190">
        <v>0</v>
      </c>
      <c r="G69" s="189">
        <f t="shared" si="10"/>
        <v>0</v>
      </c>
      <c r="H69" s="190">
        <v>0</v>
      </c>
      <c r="I69" s="189">
        <f t="shared" si="11"/>
        <v>0</v>
      </c>
      <c r="J69" s="190">
        <f>0</f>
        <v>0</v>
      </c>
      <c r="K69" s="189">
        <f t="shared" si="10"/>
        <v>0</v>
      </c>
      <c r="L69" s="190">
        <v>0</v>
      </c>
      <c r="M69" s="189">
        <f t="shared" si="12"/>
        <v>0</v>
      </c>
      <c r="N69" s="190">
        <v>0</v>
      </c>
      <c r="O69" s="189">
        <f t="shared" si="13"/>
        <v>0</v>
      </c>
      <c r="P69" s="190">
        <v>0</v>
      </c>
      <c r="Q69" s="189">
        <f t="shared" si="13"/>
        <v>0</v>
      </c>
      <c r="R69" s="190">
        <v>0</v>
      </c>
      <c r="S69" s="189">
        <f t="shared" si="14"/>
        <v>0</v>
      </c>
      <c r="T69" s="190"/>
      <c r="U69" s="191" t="e">
        <f t="shared" si="15"/>
        <v>#DIV/0!</v>
      </c>
      <c r="V69" s="192"/>
      <c r="W69" s="807">
        <f t="shared" si="16"/>
        <v>0</v>
      </c>
      <c r="X69" s="193" t="e">
        <f t="shared" si="17"/>
        <v>#DIV/0!</v>
      </c>
    </row>
    <row r="70" spans="1:24" s="1" customFormat="1" ht="15" customHeight="1" x14ac:dyDescent="0.2">
      <c r="A70" s="194" t="s">
        <v>49</v>
      </c>
      <c r="B70" s="187">
        <v>5</v>
      </c>
      <c r="C70" s="188">
        <f t="shared" si="9"/>
        <v>0.5</v>
      </c>
      <c r="D70" s="187">
        <v>5</v>
      </c>
      <c r="E70" s="189">
        <f t="shared" si="10"/>
        <v>0.45454545454545453</v>
      </c>
      <c r="F70" s="190">
        <v>5</v>
      </c>
      <c r="G70" s="189">
        <f t="shared" si="10"/>
        <v>0.45454545454545453</v>
      </c>
      <c r="H70" s="190">
        <v>5</v>
      </c>
      <c r="I70" s="189">
        <f t="shared" si="11"/>
        <v>0.38461538461538464</v>
      </c>
      <c r="J70" s="190">
        <f>5</f>
        <v>5</v>
      </c>
      <c r="K70" s="189">
        <f t="shared" si="10"/>
        <v>0.41666666666666669</v>
      </c>
      <c r="L70" s="190">
        <v>5</v>
      </c>
      <c r="M70" s="189">
        <f t="shared" si="12"/>
        <v>0.38461538461538464</v>
      </c>
      <c r="N70" s="190">
        <v>5</v>
      </c>
      <c r="O70" s="189">
        <f t="shared" si="13"/>
        <v>0.45454545454545453</v>
      </c>
      <c r="P70" s="190">
        <v>5</v>
      </c>
      <c r="Q70" s="189">
        <f t="shared" si="13"/>
        <v>0.45454545454545453</v>
      </c>
      <c r="R70" s="190">
        <v>4</v>
      </c>
      <c r="S70" s="189">
        <f t="shared" si="14"/>
        <v>0.2857142857142857</v>
      </c>
      <c r="T70" s="190"/>
      <c r="U70" s="191" t="e">
        <f t="shared" si="15"/>
        <v>#DIV/0!</v>
      </c>
      <c r="V70" s="192"/>
      <c r="W70" s="807">
        <f t="shared" si="16"/>
        <v>4.75</v>
      </c>
      <c r="X70" s="193" t="e">
        <f t="shared" si="17"/>
        <v>#DIV/0!</v>
      </c>
    </row>
    <row r="71" spans="1:24" s="1" customFormat="1" ht="15" customHeight="1" x14ac:dyDescent="0.2">
      <c r="A71" s="194" t="s">
        <v>50</v>
      </c>
      <c r="B71" s="187">
        <v>0</v>
      </c>
      <c r="C71" s="188">
        <f t="shared" si="9"/>
        <v>0</v>
      </c>
      <c r="D71" s="187">
        <v>0</v>
      </c>
      <c r="E71" s="189">
        <f t="shared" si="10"/>
        <v>0</v>
      </c>
      <c r="F71" s="190">
        <v>0</v>
      </c>
      <c r="G71" s="189">
        <f t="shared" si="10"/>
        <v>0</v>
      </c>
      <c r="H71" s="190">
        <v>0</v>
      </c>
      <c r="I71" s="189">
        <f t="shared" si="11"/>
        <v>0</v>
      </c>
      <c r="J71" s="190">
        <f>0</f>
        <v>0</v>
      </c>
      <c r="K71" s="189">
        <f t="shared" si="10"/>
        <v>0</v>
      </c>
      <c r="L71" s="190">
        <v>1</v>
      </c>
      <c r="M71" s="189">
        <f t="shared" si="12"/>
        <v>7.6923076923076927E-2</v>
      </c>
      <c r="N71" s="190">
        <v>0</v>
      </c>
      <c r="O71" s="189">
        <f t="shared" si="13"/>
        <v>0</v>
      </c>
      <c r="P71" s="190">
        <v>0</v>
      </c>
      <c r="Q71" s="189">
        <f t="shared" si="13"/>
        <v>0</v>
      </c>
      <c r="R71" s="190">
        <v>2</v>
      </c>
      <c r="S71" s="189">
        <f t="shared" si="14"/>
        <v>0.14285714285714285</v>
      </c>
      <c r="T71" s="190"/>
      <c r="U71" s="191" t="e">
        <f t="shared" si="15"/>
        <v>#DIV/0!</v>
      </c>
      <c r="V71" s="192"/>
      <c r="W71" s="807">
        <f t="shared" si="16"/>
        <v>0.75</v>
      </c>
      <c r="X71" s="193" t="e">
        <f t="shared" si="17"/>
        <v>#DIV/0!</v>
      </c>
    </row>
    <row r="72" spans="1:24" s="1" customFormat="1" ht="15" customHeight="1" x14ac:dyDescent="0.2">
      <c r="A72" s="194" t="s">
        <v>51</v>
      </c>
      <c r="B72" s="195"/>
      <c r="C72" s="188"/>
      <c r="D72" s="195"/>
      <c r="E72" s="189"/>
      <c r="F72" s="196"/>
      <c r="G72" s="189"/>
      <c r="H72" s="196">
        <v>0</v>
      </c>
      <c r="I72" s="189">
        <f t="shared" si="11"/>
        <v>0</v>
      </c>
      <c r="J72" s="196">
        <f>0</f>
        <v>0</v>
      </c>
      <c r="K72" s="189">
        <f>J72/K$63</f>
        <v>0</v>
      </c>
      <c r="L72" s="196">
        <v>0</v>
      </c>
      <c r="M72" s="189">
        <f>L72/M$63</f>
        <v>0</v>
      </c>
      <c r="N72" s="196">
        <v>0</v>
      </c>
      <c r="O72" s="189">
        <f>N72/O$63</f>
        <v>0</v>
      </c>
      <c r="P72" s="196">
        <v>0</v>
      </c>
      <c r="Q72" s="189">
        <f>P72/Q$63</f>
        <v>0</v>
      </c>
      <c r="R72" s="196">
        <v>0</v>
      </c>
      <c r="S72" s="189">
        <f>R72/S$63</f>
        <v>0</v>
      </c>
      <c r="T72" s="190"/>
      <c r="U72" s="191" t="e">
        <f>T72/U$63</f>
        <v>#DIV/0!</v>
      </c>
      <c r="V72" s="192"/>
      <c r="W72" s="807">
        <f t="shared" si="16"/>
        <v>0</v>
      </c>
      <c r="X72" s="193" t="e">
        <f t="shared" si="17"/>
        <v>#DIV/0!</v>
      </c>
    </row>
    <row r="73" spans="1:24" s="1" customFormat="1" ht="15" customHeight="1" thickBot="1" x14ac:dyDescent="0.25">
      <c r="A73" s="194" t="s">
        <v>52</v>
      </c>
      <c r="B73" s="195">
        <v>0</v>
      </c>
      <c r="C73" s="627">
        <f t="shared" si="9"/>
        <v>0</v>
      </c>
      <c r="D73" s="195">
        <v>0</v>
      </c>
      <c r="E73" s="628">
        <f t="shared" si="10"/>
        <v>0</v>
      </c>
      <c r="F73" s="196">
        <v>0</v>
      </c>
      <c r="G73" s="628">
        <f t="shared" si="10"/>
        <v>0</v>
      </c>
      <c r="H73" s="196">
        <v>0</v>
      </c>
      <c r="I73" s="628">
        <f t="shared" si="11"/>
        <v>0</v>
      </c>
      <c r="J73" s="196">
        <f>0</f>
        <v>0</v>
      </c>
      <c r="K73" s="628">
        <f t="shared" si="10"/>
        <v>0</v>
      </c>
      <c r="L73" s="196">
        <v>0</v>
      </c>
      <c r="M73" s="628">
        <f>L73/M$63</f>
        <v>0</v>
      </c>
      <c r="N73" s="196">
        <v>0</v>
      </c>
      <c r="O73" s="628">
        <f>N73/O$63</f>
        <v>0</v>
      </c>
      <c r="P73" s="196">
        <v>0</v>
      </c>
      <c r="Q73" s="628">
        <f>P73/Q$63</f>
        <v>0</v>
      </c>
      <c r="R73" s="196">
        <v>0</v>
      </c>
      <c r="S73" s="628">
        <f>R73/S$63</f>
        <v>0</v>
      </c>
      <c r="T73" s="196"/>
      <c r="U73" s="629" t="e">
        <f>T73/U$63</f>
        <v>#DIV/0!</v>
      </c>
      <c r="V73" s="192"/>
      <c r="W73" s="807">
        <f t="shared" si="16"/>
        <v>0</v>
      </c>
      <c r="X73" s="193" t="e">
        <f t="shared" si="17"/>
        <v>#DIV/0!</v>
      </c>
    </row>
    <row r="74" spans="1:24" s="1" customFormat="1" ht="18" customHeight="1" x14ac:dyDescent="0.2">
      <c r="A74" s="603" t="s">
        <v>53</v>
      </c>
      <c r="B74" s="632"/>
      <c r="C74" s="633"/>
      <c r="D74" s="632"/>
      <c r="E74" s="634"/>
      <c r="F74" s="635"/>
      <c r="G74" s="634"/>
      <c r="H74" s="635"/>
      <c r="I74" s="634"/>
      <c r="J74" s="635"/>
      <c r="K74" s="634"/>
      <c r="L74" s="635"/>
      <c r="M74" s="634"/>
      <c r="N74" s="635"/>
      <c r="O74" s="634"/>
      <c r="P74" s="635"/>
      <c r="Q74" s="634"/>
      <c r="R74" s="635"/>
      <c r="S74" s="634"/>
      <c r="T74" s="635"/>
      <c r="U74" s="636"/>
      <c r="V74" s="192"/>
      <c r="W74" s="807"/>
      <c r="X74" s="193"/>
    </row>
    <row r="75" spans="1:24" s="1" customFormat="1" ht="15" customHeight="1" x14ac:dyDescent="0.2">
      <c r="A75" s="186" t="s">
        <v>54</v>
      </c>
      <c r="B75" s="202">
        <v>9</v>
      </c>
      <c r="C75" s="188">
        <f>B75/C$63</f>
        <v>0.9</v>
      </c>
      <c r="D75" s="202">
        <v>10</v>
      </c>
      <c r="E75" s="189">
        <f>D75/E$63</f>
        <v>0.90909090909090906</v>
      </c>
      <c r="F75" s="93">
        <v>10</v>
      </c>
      <c r="G75" s="189">
        <f>F75/G$63</f>
        <v>0.90909090909090906</v>
      </c>
      <c r="H75" s="93">
        <v>11</v>
      </c>
      <c r="I75" s="189">
        <f>H75/I$63</f>
        <v>0.84615384615384615</v>
      </c>
      <c r="J75" s="93">
        <f>9</f>
        <v>9</v>
      </c>
      <c r="K75" s="189">
        <f>J75/K$63</f>
        <v>0.75</v>
      </c>
      <c r="L75" s="93">
        <v>10</v>
      </c>
      <c r="M75" s="189">
        <f>L75/M$63</f>
        <v>0.76923076923076927</v>
      </c>
      <c r="N75" s="93">
        <v>9</v>
      </c>
      <c r="O75" s="189">
        <f>N75/O$63</f>
        <v>0.81818181818181823</v>
      </c>
      <c r="P75" s="93">
        <v>9</v>
      </c>
      <c r="Q75" s="189">
        <f>P75/Q$63</f>
        <v>0.81818181818181823</v>
      </c>
      <c r="R75" s="93">
        <v>10</v>
      </c>
      <c r="S75" s="189">
        <f>R75/S$63</f>
        <v>0.7142857142857143</v>
      </c>
      <c r="T75" s="93"/>
      <c r="U75" s="191" t="e">
        <f>T75/U$63</f>
        <v>#DIV/0!</v>
      </c>
      <c r="V75" s="192"/>
      <c r="W75" s="807">
        <f t="shared" si="16"/>
        <v>9.5</v>
      </c>
      <c r="X75" s="193" t="e">
        <f t="shared" si="17"/>
        <v>#DIV/0!</v>
      </c>
    </row>
    <row r="76" spans="1:24" s="1" customFormat="1" ht="15" customHeight="1" thickBot="1" x14ac:dyDescent="0.25">
      <c r="A76" s="194" t="s">
        <v>55</v>
      </c>
      <c r="B76" s="630">
        <v>1</v>
      </c>
      <c r="C76" s="627">
        <f>B76/C$63</f>
        <v>0.1</v>
      </c>
      <c r="D76" s="630">
        <v>1</v>
      </c>
      <c r="E76" s="628">
        <f>D76/E$63</f>
        <v>9.0909090909090912E-2</v>
      </c>
      <c r="F76" s="631">
        <v>1</v>
      </c>
      <c r="G76" s="628">
        <f>F76/G$63</f>
        <v>9.0909090909090912E-2</v>
      </c>
      <c r="H76" s="631">
        <v>2</v>
      </c>
      <c r="I76" s="628">
        <f>H76/I$63</f>
        <v>0.15384615384615385</v>
      </c>
      <c r="J76" s="631">
        <f>3</f>
        <v>3</v>
      </c>
      <c r="K76" s="628">
        <f>J76/K$63</f>
        <v>0.25</v>
      </c>
      <c r="L76" s="631">
        <v>3</v>
      </c>
      <c r="M76" s="628">
        <f>L76/M$63</f>
        <v>0.23076923076923078</v>
      </c>
      <c r="N76" s="631">
        <v>2</v>
      </c>
      <c r="O76" s="628">
        <f>N76/O$63</f>
        <v>0.18181818181818182</v>
      </c>
      <c r="P76" s="631">
        <v>2</v>
      </c>
      <c r="Q76" s="628">
        <f>P76/Q$63</f>
        <v>0.18181818181818182</v>
      </c>
      <c r="R76" s="631">
        <v>4</v>
      </c>
      <c r="S76" s="628">
        <f>R76/S$63</f>
        <v>0.2857142857142857</v>
      </c>
      <c r="T76" s="631"/>
      <c r="U76" s="629" t="e">
        <f>T76/U$63</f>
        <v>#DIV/0!</v>
      </c>
      <c r="V76" s="192"/>
      <c r="W76" s="807">
        <f t="shared" si="16"/>
        <v>2.75</v>
      </c>
      <c r="X76" s="193" t="e">
        <f t="shared" si="17"/>
        <v>#DIV/0!</v>
      </c>
    </row>
    <row r="77" spans="1:24" s="1" customFormat="1" ht="18" customHeight="1" x14ac:dyDescent="0.2">
      <c r="A77" s="603" t="s">
        <v>56</v>
      </c>
      <c r="B77" s="637"/>
      <c r="C77" s="638"/>
      <c r="D77" s="637"/>
      <c r="E77" s="639"/>
      <c r="F77" s="640"/>
      <c r="G77" s="639"/>
      <c r="H77" s="640"/>
      <c r="I77" s="639"/>
      <c r="J77" s="640"/>
      <c r="K77" s="639"/>
      <c r="L77" s="640"/>
      <c r="M77" s="639"/>
      <c r="N77" s="640"/>
      <c r="O77" s="639"/>
      <c r="P77" s="640"/>
      <c r="Q77" s="639"/>
      <c r="R77" s="640"/>
      <c r="S77" s="639"/>
      <c r="T77" s="640"/>
      <c r="U77" s="641"/>
      <c r="V77" s="192"/>
      <c r="W77" s="807"/>
      <c r="X77" s="193"/>
    </row>
    <row r="78" spans="1:24" s="1" customFormat="1" ht="15" customHeight="1" x14ac:dyDescent="0.2">
      <c r="A78" s="186" t="s">
        <v>57</v>
      </c>
      <c r="B78" s="203">
        <v>9</v>
      </c>
      <c r="C78" s="188">
        <f>B78/C$63</f>
        <v>0.9</v>
      </c>
      <c r="D78" s="203">
        <v>9</v>
      </c>
      <c r="E78" s="189">
        <f>D78/E$63</f>
        <v>0.81818181818181823</v>
      </c>
      <c r="F78" s="204">
        <v>10</v>
      </c>
      <c r="G78" s="189">
        <f>F78/G$63</f>
        <v>0.90909090909090906</v>
      </c>
      <c r="H78" s="204">
        <v>11</v>
      </c>
      <c r="I78" s="189">
        <f>H78/I$63</f>
        <v>0.84615384615384615</v>
      </c>
      <c r="J78" s="204">
        <f>10</f>
        <v>10</v>
      </c>
      <c r="K78" s="189">
        <f>J78/K$63</f>
        <v>0.83333333333333337</v>
      </c>
      <c r="L78" s="204">
        <v>10</v>
      </c>
      <c r="M78" s="189">
        <f>L78/M$63</f>
        <v>0.76923076923076927</v>
      </c>
      <c r="N78" s="204">
        <v>9</v>
      </c>
      <c r="O78" s="189">
        <f>N78/O$63</f>
        <v>0.81818181818181823</v>
      </c>
      <c r="P78" s="204">
        <v>9</v>
      </c>
      <c r="Q78" s="189">
        <f>P78/Q$63</f>
        <v>0.81818181818181823</v>
      </c>
      <c r="R78" s="204">
        <v>8</v>
      </c>
      <c r="S78" s="189">
        <f>R78/S$63</f>
        <v>0.5714285714285714</v>
      </c>
      <c r="T78" s="204"/>
      <c r="U78" s="191" t="e">
        <f>T78/U$63</f>
        <v>#DIV/0!</v>
      </c>
      <c r="V78" s="192"/>
      <c r="W78" s="807">
        <f t="shared" si="16"/>
        <v>9</v>
      </c>
      <c r="X78" s="193" t="e">
        <f t="shared" si="17"/>
        <v>#DIV/0!</v>
      </c>
    </row>
    <row r="79" spans="1:24" s="1" customFormat="1" ht="15" customHeight="1" x14ac:dyDescent="0.2">
      <c r="A79" s="186" t="s">
        <v>58</v>
      </c>
      <c r="B79" s="203">
        <v>0</v>
      </c>
      <c r="C79" s="188">
        <f>B79/C$63</f>
        <v>0</v>
      </c>
      <c r="D79" s="203">
        <v>0</v>
      </c>
      <c r="E79" s="189">
        <f>D79/E$63</f>
        <v>0</v>
      </c>
      <c r="F79" s="204">
        <v>0</v>
      </c>
      <c r="G79" s="189">
        <f>F79/G$63</f>
        <v>0</v>
      </c>
      <c r="H79" s="204">
        <v>0</v>
      </c>
      <c r="I79" s="189">
        <f>H79/I$63</f>
        <v>0</v>
      </c>
      <c r="J79" s="204">
        <f>1</f>
        <v>1</v>
      </c>
      <c r="K79" s="189">
        <f>J79/K$63</f>
        <v>8.3333333333333329E-2</v>
      </c>
      <c r="L79" s="204">
        <v>1</v>
      </c>
      <c r="M79" s="189">
        <f>L79/M$63</f>
        <v>7.6923076923076927E-2</v>
      </c>
      <c r="N79" s="204">
        <v>1</v>
      </c>
      <c r="O79" s="189">
        <f>N79/O$63</f>
        <v>9.0909090909090912E-2</v>
      </c>
      <c r="P79" s="204">
        <v>1</v>
      </c>
      <c r="Q79" s="189">
        <f>P79/Q$63</f>
        <v>9.0909090909090912E-2</v>
      </c>
      <c r="R79" s="204">
        <v>2</v>
      </c>
      <c r="S79" s="189">
        <f>R79/S$63</f>
        <v>0.14285714285714285</v>
      </c>
      <c r="T79" s="204"/>
      <c r="U79" s="191" t="e">
        <f>T79/U$63</f>
        <v>#DIV/0!</v>
      </c>
      <c r="V79" s="192"/>
      <c r="W79" s="807">
        <f t="shared" si="16"/>
        <v>1.25</v>
      </c>
      <c r="X79" s="193" t="e">
        <f t="shared" si="17"/>
        <v>#DIV/0!</v>
      </c>
    </row>
    <row r="80" spans="1:24" s="1" customFormat="1" ht="15" customHeight="1" thickBot="1" x14ac:dyDescent="0.25">
      <c r="A80" s="194" t="s">
        <v>59</v>
      </c>
      <c r="B80" s="630">
        <v>1</v>
      </c>
      <c r="C80" s="627">
        <f>B80/C$63</f>
        <v>0.1</v>
      </c>
      <c r="D80" s="630">
        <v>2</v>
      </c>
      <c r="E80" s="628">
        <f>D80/E$63</f>
        <v>0.18181818181818182</v>
      </c>
      <c r="F80" s="631">
        <v>1</v>
      </c>
      <c r="G80" s="628">
        <f>F80/G$63</f>
        <v>9.0909090909090912E-2</v>
      </c>
      <c r="H80" s="631">
        <v>2</v>
      </c>
      <c r="I80" s="628">
        <f>H80/I$63</f>
        <v>0.15384615384615385</v>
      </c>
      <c r="J80" s="631">
        <f>1</f>
        <v>1</v>
      </c>
      <c r="K80" s="628">
        <f>J80/K$63</f>
        <v>8.3333333333333329E-2</v>
      </c>
      <c r="L80" s="631">
        <v>2</v>
      </c>
      <c r="M80" s="628">
        <f>L80/M$63</f>
        <v>0.15384615384615385</v>
      </c>
      <c r="N80" s="631">
        <v>1</v>
      </c>
      <c r="O80" s="628">
        <f>N80/O$63</f>
        <v>9.0909090909090912E-2</v>
      </c>
      <c r="P80" s="631">
        <v>1</v>
      </c>
      <c r="Q80" s="628">
        <f>P80/Q$63</f>
        <v>9.0909090909090912E-2</v>
      </c>
      <c r="R80" s="631">
        <v>4</v>
      </c>
      <c r="S80" s="628">
        <f>R80/S$63</f>
        <v>0.2857142857142857</v>
      </c>
      <c r="T80" s="631"/>
      <c r="U80" s="629" t="e">
        <f>T80/U$63</f>
        <v>#DIV/0!</v>
      </c>
      <c r="V80" s="192"/>
      <c r="W80" s="807">
        <f t="shared" si="16"/>
        <v>2</v>
      </c>
      <c r="X80" s="193" t="e">
        <f t="shared" si="17"/>
        <v>#DIV/0!</v>
      </c>
    </row>
    <row r="81" spans="1:24" s="1" customFormat="1" ht="18" customHeight="1" x14ac:dyDescent="0.2">
      <c r="A81" s="603" t="s">
        <v>60</v>
      </c>
      <c r="B81" s="637"/>
      <c r="C81" s="638"/>
      <c r="D81" s="637"/>
      <c r="E81" s="639"/>
      <c r="F81" s="640"/>
      <c r="G81" s="639"/>
      <c r="H81" s="640"/>
      <c r="I81" s="639"/>
      <c r="J81" s="640"/>
      <c r="K81" s="639"/>
      <c r="L81" s="640"/>
      <c r="M81" s="639"/>
      <c r="N81" s="640"/>
      <c r="O81" s="639"/>
      <c r="P81" s="640"/>
      <c r="Q81" s="639"/>
      <c r="R81" s="640"/>
      <c r="S81" s="639"/>
      <c r="T81" s="640"/>
      <c r="U81" s="641"/>
      <c r="V81" s="192"/>
      <c r="W81" s="807"/>
      <c r="X81" s="193"/>
    </row>
    <row r="82" spans="1:24" s="1" customFormat="1" ht="15" customHeight="1" x14ac:dyDescent="0.2">
      <c r="A82" s="186" t="s">
        <v>61</v>
      </c>
      <c r="B82" s="203">
        <v>9</v>
      </c>
      <c r="C82" s="188">
        <f>B82/C$63</f>
        <v>0.9</v>
      </c>
      <c r="D82" s="203">
        <v>9</v>
      </c>
      <c r="E82" s="189">
        <f>D82/E$63</f>
        <v>0.81818181818181823</v>
      </c>
      <c r="F82" s="204">
        <v>10</v>
      </c>
      <c r="G82" s="189">
        <f>F82/G$63</f>
        <v>0.90909090909090906</v>
      </c>
      <c r="H82" s="204">
        <v>11</v>
      </c>
      <c r="I82" s="189">
        <f>H82/I$63</f>
        <v>0.84615384615384615</v>
      </c>
      <c r="J82" s="204">
        <f>11</f>
        <v>11</v>
      </c>
      <c r="K82" s="189">
        <f>J82/K$63</f>
        <v>0.91666666666666663</v>
      </c>
      <c r="L82" s="204">
        <v>12</v>
      </c>
      <c r="M82" s="189">
        <f>L82/M$63</f>
        <v>0.92307692307692313</v>
      </c>
      <c r="N82" s="204">
        <v>10</v>
      </c>
      <c r="O82" s="189">
        <f>N82/O$63</f>
        <v>0.90909090909090906</v>
      </c>
      <c r="P82" s="204">
        <v>10</v>
      </c>
      <c r="Q82" s="189">
        <f>P82/Q$63</f>
        <v>0.90909090909090906</v>
      </c>
      <c r="R82" s="204">
        <v>12</v>
      </c>
      <c r="S82" s="189">
        <f>R82/S$63</f>
        <v>0.8571428571428571</v>
      </c>
      <c r="T82" s="204"/>
      <c r="U82" s="191" t="e">
        <f>T82/U$63</f>
        <v>#DIV/0!</v>
      </c>
      <c r="V82" s="192"/>
      <c r="W82" s="807">
        <f t="shared" si="16"/>
        <v>11</v>
      </c>
      <c r="X82" s="193" t="e">
        <f t="shared" si="17"/>
        <v>#DIV/0!</v>
      </c>
    </row>
    <row r="83" spans="1:24" s="1" customFormat="1" ht="15" customHeight="1" x14ac:dyDescent="0.2">
      <c r="A83" s="186" t="s">
        <v>62</v>
      </c>
      <c r="B83" s="203">
        <v>1</v>
      </c>
      <c r="C83" s="188">
        <f>B83/C$63</f>
        <v>0.1</v>
      </c>
      <c r="D83" s="203">
        <v>1</v>
      </c>
      <c r="E83" s="189">
        <f>D83/E$63</f>
        <v>9.0909090909090912E-2</v>
      </c>
      <c r="F83" s="204">
        <v>0</v>
      </c>
      <c r="G83" s="189">
        <f>F83/G$63</f>
        <v>0</v>
      </c>
      <c r="H83" s="204">
        <v>1</v>
      </c>
      <c r="I83" s="189">
        <f>H83/I$63</f>
        <v>7.6923076923076927E-2</v>
      </c>
      <c r="J83" s="204">
        <f>0</f>
        <v>0</v>
      </c>
      <c r="K83" s="189">
        <f>J83/K$63</f>
        <v>0</v>
      </c>
      <c r="L83" s="204">
        <v>0</v>
      </c>
      <c r="M83" s="189">
        <f>L83/M$63</f>
        <v>0</v>
      </c>
      <c r="N83" s="204">
        <v>0</v>
      </c>
      <c r="O83" s="189">
        <f>N83/O$63</f>
        <v>0</v>
      </c>
      <c r="P83" s="204">
        <v>0</v>
      </c>
      <c r="Q83" s="189">
        <f>P83/Q$63</f>
        <v>0</v>
      </c>
      <c r="R83" s="204">
        <v>0</v>
      </c>
      <c r="S83" s="189">
        <f>R83/S$63</f>
        <v>0</v>
      </c>
      <c r="T83" s="204"/>
      <c r="U83" s="191" t="e">
        <f>T83/U$63</f>
        <v>#DIV/0!</v>
      </c>
      <c r="V83" s="192"/>
      <c r="W83" s="807">
        <f t="shared" si="16"/>
        <v>0</v>
      </c>
      <c r="X83" s="193" t="e">
        <f t="shared" si="17"/>
        <v>#DIV/0!</v>
      </c>
    </row>
    <row r="84" spans="1:24" s="1" customFormat="1" ht="15" customHeight="1" x14ac:dyDescent="0.2">
      <c r="A84" s="186" t="s">
        <v>63</v>
      </c>
      <c r="B84" s="203">
        <v>0</v>
      </c>
      <c r="C84" s="188">
        <f>B84/C$63</f>
        <v>0</v>
      </c>
      <c r="D84" s="203">
        <v>1</v>
      </c>
      <c r="E84" s="189">
        <f>D84/E$63</f>
        <v>9.0909090909090912E-2</v>
      </c>
      <c r="F84" s="204">
        <v>1</v>
      </c>
      <c r="G84" s="189">
        <f>F84/G$63</f>
        <v>9.0909090909090912E-2</v>
      </c>
      <c r="H84" s="204">
        <v>1</v>
      </c>
      <c r="I84" s="189">
        <f>H84/I$63</f>
        <v>7.6923076923076927E-2</v>
      </c>
      <c r="J84" s="204">
        <f>1</f>
        <v>1</v>
      </c>
      <c r="K84" s="189">
        <f>J84/K$63</f>
        <v>8.3333333333333329E-2</v>
      </c>
      <c r="L84" s="204">
        <v>1</v>
      </c>
      <c r="M84" s="189">
        <f>L84/M$63</f>
        <v>7.6923076923076927E-2</v>
      </c>
      <c r="N84" s="204">
        <v>1</v>
      </c>
      <c r="O84" s="189">
        <f>N84/O$63</f>
        <v>9.0909090909090912E-2</v>
      </c>
      <c r="P84" s="204">
        <v>1</v>
      </c>
      <c r="Q84" s="189">
        <f>P84/Q$63</f>
        <v>9.0909090909090912E-2</v>
      </c>
      <c r="R84" s="204">
        <v>2</v>
      </c>
      <c r="S84" s="189">
        <f>R84/S$63</f>
        <v>0.14285714285714285</v>
      </c>
      <c r="T84" s="204"/>
      <c r="U84" s="191" t="e">
        <f>T84/U$63</f>
        <v>#DIV/0!</v>
      </c>
      <c r="V84" s="182"/>
      <c r="W84" s="807">
        <f t="shared" si="16"/>
        <v>1.25</v>
      </c>
      <c r="X84" s="193" t="e">
        <f t="shared" si="17"/>
        <v>#DIV/0!</v>
      </c>
    </row>
    <row r="85" spans="1:24" s="1" customFormat="1" ht="15" customHeight="1" thickBot="1" x14ac:dyDescent="0.25">
      <c r="A85" s="207" t="s">
        <v>64</v>
      </c>
      <c r="B85" s="208">
        <v>0</v>
      </c>
      <c r="C85" s="209">
        <f>B85/C$63</f>
        <v>0</v>
      </c>
      <c r="D85" s="208">
        <v>0</v>
      </c>
      <c r="E85" s="210">
        <f>D85/E$63</f>
        <v>0</v>
      </c>
      <c r="F85" s="211">
        <v>0</v>
      </c>
      <c r="G85" s="210">
        <f>F85/G$63</f>
        <v>0</v>
      </c>
      <c r="H85" s="211">
        <v>0</v>
      </c>
      <c r="I85" s="210">
        <f>H85/I$63</f>
        <v>0</v>
      </c>
      <c r="J85" s="211">
        <f>0</f>
        <v>0</v>
      </c>
      <c r="K85" s="210">
        <f>J85/K$63</f>
        <v>0</v>
      </c>
      <c r="L85" s="211">
        <v>0</v>
      </c>
      <c r="M85" s="210">
        <f>L85/M$63</f>
        <v>0</v>
      </c>
      <c r="N85" s="211">
        <v>0</v>
      </c>
      <c r="O85" s="210">
        <f>N85/O$63</f>
        <v>0</v>
      </c>
      <c r="P85" s="211">
        <v>0</v>
      </c>
      <c r="Q85" s="210">
        <f>P85/Q$63</f>
        <v>0</v>
      </c>
      <c r="R85" s="211">
        <v>0</v>
      </c>
      <c r="S85" s="210">
        <f>R85/S$63</f>
        <v>0</v>
      </c>
      <c r="T85" s="211"/>
      <c r="U85" s="212" t="e">
        <f>T85/U$63</f>
        <v>#DIV/0!</v>
      </c>
      <c r="V85" s="182"/>
      <c r="W85" s="811">
        <f t="shared" si="16"/>
        <v>0</v>
      </c>
      <c r="X85" s="213" t="e">
        <f t="shared" si="17"/>
        <v>#DIV/0!</v>
      </c>
    </row>
    <row r="86" spans="1:24" ht="15" customHeight="1" thickTop="1" x14ac:dyDescent="0.2">
      <c r="A86" s="462" t="s">
        <v>160</v>
      </c>
    </row>
    <row r="87" spans="1:24" ht="15" customHeight="1" x14ac:dyDescent="0.2">
      <c r="A87" s="1"/>
      <c r="H87" s="47" t="s">
        <v>19</v>
      </c>
      <c r="J87" s="47" t="s">
        <v>19</v>
      </c>
      <c r="L87" s="47" t="s">
        <v>19</v>
      </c>
      <c r="N87" s="47" t="s">
        <v>19</v>
      </c>
      <c r="P87" s="47" t="s">
        <v>19</v>
      </c>
      <c r="R87" s="47" t="s">
        <v>19</v>
      </c>
      <c r="T87" s="47" t="s">
        <v>19</v>
      </c>
    </row>
    <row r="88" spans="1:24" ht="15" customHeight="1" x14ac:dyDescent="0.2">
      <c r="A88" s="1"/>
    </row>
    <row r="89" spans="1:24" ht="15" customHeight="1" x14ac:dyDescent="0.2">
      <c r="A89" s="1"/>
    </row>
    <row r="90" spans="1:24" x14ac:dyDescent="0.2">
      <c r="A90" s="1"/>
    </row>
    <row r="91" spans="1:24" x14ac:dyDescent="0.2">
      <c r="A91" s="1"/>
    </row>
    <row r="92" spans="1:24" x14ac:dyDescent="0.2">
      <c r="A92" s="1"/>
    </row>
    <row r="93" spans="1:24" x14ac:dyDescent="0.2">
      <c r="A93" s="1"/>
    </row>
    <row r="94" spans="1:24" x14ac:dyDescent="0.2">
      <c r="A94" s="1"/>
    </row>
    <row r="95" spans="1:24" x14ac:dyDescent="0.2">
      <c r="A95" s="1"/>
    </row>
    <row r="96" spans="1:24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</sheetData>
  <mergeCells count="77">
    <mergeCell ref="N51:O51"/>
    <mergeCell ref="P51:Q51"/>
    <mergeCell ref="R51:S51"/>
    <mergeCell ref="W51:X51"/>
    <mergeCell ref="B51:C51"/>
    <mergeCell ref="D51:E51"/>
    <mergeCell ref="F51:G51"/>
    <mergeCell ref="H51:I51"/>
    <mergeCell ref="J51:K51"/>
    <mergeCell ref="L51:M51"/>
    <mergeCell ref="T51:U51"/>
    <mergeCell ref="N9:O9"/>
    <mergeCell ref="P9:Q9"/>
    <mergeCell ref="R9:S9"/>
    <mergeCell ref="W9:X9"/>
    <mergeCell ref="B9:C9"/>
    <mergeCell ref="D9:E9"/>
    <mergeCell ref="F9:G9"/>
    <mergeCell ref="H9:I9"/>
    <mergeCell ref="J9:K9"/>
    <mergeCell ref="L9:M9"/>
    <mergeCell ref="T9:U9"/>
    <mergeCell ref="L26:M26"/>
    <mergeCell ref="N26:O26"/>
    <mergeCell ref="P26:Q26"/>
    <mergeCell ref="R26:S26"/>
    <mergeCell ref="W26:X26"/>
    <mergeCell ref="T26:U26"/>
    <mergeCell ref="B26:C26"/>
    <mergeCell ref="D26:E26"/>
    <mergeCell ref="F26:G26"/>
    <mergeCell ref="H26:I26"/>
    <mergeCell ref="J26:K26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W31:X31"/>
    <mergeCell ref="T31:U31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W33:X33"/>
    <mergeCell ref="T33:U33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W40:X40"/>
    <mergeCell ref="T40:U40"/>
    <mergeCell ref="B43:C43"/>
    <mergeCell ref="D43:E43"/>
    <mergeCell ref="F43:G43"/>
    <mergeCell ref="H43:I43"/>
    <mergeCell ref="J43:K43"/>
    <mergeCell ref="N43:O43"/>
    <mergeCell ref="P43:Q43"/>
    <mergeCell ref="R43:S43"/>
    <mergeCell ref="W43:X43"/>
    <mergeCell ref="L43:M43"/>
    <mergeCell ref="T43:U43"/>
  </mergeCells>
  <printOptions horizontalCentered="1"/>
  <pageMargins left="0.7" right="0.7" top="0.5" bottom="0.5" header="0.3" footer="0.3"/>
  <pageSetup scale="70" orientation="landscape" r:id="rId1"/>
  <headerFooter alignWithMargins="0">
    <oddFooter>&amp;LPrepared by Planning and Analysis&amp;C&amp;P of &amp;N&amp;RUpdated &amp;D</oddFooter>
  </headerFooter>
  <rowBreaks count="1" manualBreakCount="1">
    <brk id="49" max="21" man="1"/>
  </rowBreaks>
  <ignoredErrors>
    <ignoredError sqref="J66:J8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9"/>
  <sheetViews>
    <sheetView view="pageBreakPreview" zoomScaleNormal="96" zoomScaleSheetLayoutView="100" workbookViewId="0">
      <pane xSplit="1" ySplit="2" topLeftCell="N33" activePane="bottomRight" state="frozen"/>
      <selection activeCell="X23" sqref="X23"/>
      <selection pane="topRight" activeCell="X23" sqref="X23"/>
      <selection pane="bottomLeft" activeCell="X23" sqref="X23"/>
      <selection pane="bottomRight" activeCell="W23" sqref="W23:X23"/>
    </sheetView>
  </sheetViews>
  <sheetFormatPr defaultColWidth="10.28515625" defaultRowHeight="12.75" x14ac:dyDescent="0.2"/>
  <cols>
    <col min="1" max="1" width="33.57031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4" ht="15.75" x14ac:dyDescent="0.25">
      <c r="A1" s="438" t="s">
        <v>148</v>
      </c>
    </row>
    <row r="2" spans="1:24" ht="15.75" x14ac:dyDescent="0.25">
      <c r="A2" s="438" t="s">
        <v>149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1:24" x14ac:dyDescent="0.2">
      <c r="A3" s="439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</row>
    <row r="4" spans="1:24" ht="15.75" x14ac:dyDescent="0.25">
      <c r="A4" s="440" t="s">
        <v>150</v>
      </c>
    </row>
    <row r="5" spans="1:24" x14ac:dyDescent="0.2">
      <c r="A5" s="439"/>
    </row>
    <row r="6" spans="1:24" ht="25.5" x14ac:dyDescent="0.2">
      <c r="A6" s="445" t="s">
        <v>158</v>
      </c>
    </row>
    <row r="7" spans="1:24" x14ac:dyDescent="0.2">
      <c r="A7" s="441">
        <v>3670045130</v>
      </c>
    </row>
    <row r="8" spans="1:24" ht="13.5" thickBot="1" x14ac:dyDescent="0.25">
      <c r="A8" s="1"/>
    </row>
    <row r="9" spans="1:24" ht="14.25" thickTop="1" thickBot="1" x14ac:dyDescent="0.25">
      <c r="A9" s="3"/>
      <c r="B9" s="943" t="s">
        <v>0</v>
      </c>
      <c r="C9" s="940"/>
      <c r="D9" s="943" t="s">
        <v>1</v>
      </c>
      <c r="E9" s="940"/>
      <c r="F9" s="943" t="s">
        <v>2</v>
      </c>
      <c r="G9" s="940"/>
      <c r="H9" s="943" t="s">
        <v>3</v>
      </c>
      <c r="I9" s="940"/>
      <c r="J9" s="943" t="s">
        <v>4</v>
      </c>
      <c r="K9" s="940"/>
      <c r="L9" s="943" t="s">
        <v>5</v>
      </c>
      <c r="M9" s="940"/>
      <c r="N9" s="943" t="s">
        <v>6</v>
      </c>
      <c r="O9" s="940"/>
      <c r="P9" s="943" t="s">
        <v>7</v>
      </c>
      <c r="Q9" s="940"/>
      <c r="R9" s="943" t="s">
        <v>8</v>
      </c>
      <c r="S9" s="940"/>
      <c r="T9" s="943" t="s">
        <v>186</v>
      </c>
      <c r="U9" s="944"/>
      <c r="W9" s="957" t="s">
        <v>9</v>
      </c>
      <c r="X9" s="958"/>
    </row>
    <row r="10" spans="1:24" x14ac:dyDescent="0.2">
      <c r="A10" s="4"/>
      <c r="B10" s="49" t="s">
        <v>10</v>
      </c>
      <c r="C10" s="7" t="s">
        <v>11</v>
      </c>
      <c r="D10" s="49" t="s">
        <v>10</v>
      </c>
      <c r="E10" s="7" t="s">
        <v>11</v>
      </c>
      <c r="F10" s="49" t="s">
        <v>10</v>
      </c>
      <c r="G10" s="7" t="s">
        <v>11</v>
      </c>
      <c r="H10" s="49" t="s">
        <v>10</v>
      </c>
      <c r="I10" s="7" t="s">
        <v>11</v>
      </c>
      <c r="J10" s="49" t="s">
        <v>10</v>
      </c>
      <c r="K10" s="7" t="s">
        <v>11</v>
      </c>
      <c r="L10" s="49" t="s">
        <v>10</v>
      </c>
      <c r="M10" s="7" t="s">
        <v>11</v>
      </c>
      <c r="N10" s="49" t="s">
        <v>10</v>
      </c>
      <c r="O10" s="7" t="s">
        <v>11</v>
      </c>
      <c r="P10" s="49" t="s">
        <v>10</v>
      </c>
      <c r="Q10" s="7" t="s">
        <v>11</v>
      </c>
      <c r="R10" s="49" t="s">
        <v>10</v>
      </c>
      <c r="S10" s="7" t="s">
        <v>11</v>
      </c>
      <c r="T10" s="49" t="s">
        <v>10</v>
      </c>
      <c r="U10" s="74" t="s">
        <v>11</v>
      </c>
      <c r="W10" s="5" t="s">
        <v>12</v>
      </c>
      <c r="X10" s="6" t="s">
        <v>13</v>
      </c>
    </row>
    <row r="11" spans="1:24" ht="13.5" thickBot="1" x14ac:dyDescent="0.25">
      <c r="A11" s="51" t="s">
        <v>73</v>
      </c>
      <c r="B11" s="50" t="s">
        <v>14</v>
      </c>
      <c r="C11" s="50" t="s">
        <v>15</v>
      </c>
      <c r="D11" s="50" t="s">
        <v>14</v>
      </c>
      <c r="E11" s="50" t="s">
        <v>15</v>
      </c>
      <c r="F11" s="793" t="s">
        <v>14</v>
      </c>
      <c r="G11" s="864" t="s">
        <v>15</v>
      </c>
      <c r="H11" s="793" t="s">
        <v>14</v>
      </c>
      <c r="I11" s="864" t="s">
        <v>15</v>
      </c>
      <c r="J11" s="50" t="s">
        <v>14</v>
      </c>
      <c r="K11" s="789" t="s">
        <v>15</v>
      </c>
      <c r="L11" s="793" t="s">
        <v>14</v>
      </c>
      <c r="M11" s="864" t="s">
        <v>15</v>
      </c>
      <c r="N11" s="793" t="s">
        <v>14</v>
      </c>
      <c r="O11" s="864" t="s">
        <v>15</v>
      </c>
      <c r="P11" s="50" t="s">
        <v>14</v>
      </c>
      <c r="Q11" s="789" t="s">
        <v>15</v>
      </c>
      <c r="R11" s="793" t="s">
        <v>14</v>
      </c>
      <c r="S11" s="864" t="s">
        <v>15</v>
      </c>
      <c r="T11" s="50" t="s">
        <v>14</v>
      </c>
      <c r="U11" s="9" t="s">
        <v>15</v>
      </c>
      <c r="W11" s="8" t="s">
        <v>14</v>
      </c>
      <c r="X11" s="9" t="s">
        <v>15</v>
      </c>
    </row>
    <row r="12" spans="1:24" ht="15" customHeight="1" x14ac:dyDescent="0.2">
      <c r="A12" s="104" t="s">
        <v>114</v>
      </c>
      <c r="B12" s="129"/>
      <c r="C12" s="130"/>
      <c r="D12" s="11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5"/>
      <c r="V12" s="776"/>
      <c r="W12" s="775"/>
      <c r="X12" s="21"/>
    </row>
    <row r="13" spans="1:24" s="20" customFormat="1" ht="15" customHeight="1" x14ac:dyDescent="0.2">
      <c r="A13" s="17" t="s">
        <v>16</v>
      </c>
      <c r="B13" s="18">
        <v>307</v>
      </c>
      <c r="C13" s="262"/>
      <c r="D13" s="19">
        <v>331</v>
      </c>
      <c r="E13" s="260"/>
      <c r="F13" s="18">
        <v>361</v>
      </c>
      <c r="G13" s="260"/>
      <c r="H13" s="18">
        <v>341</v>
      </c>
      <c r="I13" s="260"/>
      <c r="J13" s="18">
        <v>315</v>
      </c>
      <c r="K13" s="260"/>
      <c r="L13" s="18">
        <v>357</v>
      </c>
      <c r="M13" s="260"/>
      <c r="N13" s="18">
        <v>412</v>
      </c>
      <c r="O13" s="260"/>
      <c r="P13" s="18">
        <v>432</v>
      </c>
      <c r="Q13" s="268"/>
      <c r="R13" s="18">
        <f>254+219+4</f>
        <v>477</v>
      </c>
      <c r="S13" s="268"/>
      <c r="T13" s="92">
        <v>467</v>
      </c>
      <c r="U13" s="266"/>
      <c r="W13" s="16">
        <f t="shared" ref="W13:W18" si="0">AVERAGE(N13,L13,R13,T13,P13)</f>
        <v>429</v>
      </c>
      <c r="X13" s="264"/>
    </row>
    <row r="14" spans="1:24" s="20" customFormat="1" ht="15" customHeight="1" thickBot="1" x14ac:dyDescent="0.25">
      <c r="A14" s="22" t="s">
        <v>17</v>
      </c>
      <c r="B14" s="24">
        <v>331</v>
      </c>
      <c r="C14" s="263"/>
      <c r="D14" s="67">
        <v>311</v>
      </c>
      <c r="E14" s="261"/>
      <c r="F14" s="24">
        <v>338</v>
      </c>
      <c r="G14" s="261"/>
      <c r="H14" s="24">
        <v>365</v>
      </c>
      <c r="I14" s="261"/>
      <c r="J14" s="24">
        <v>406</v>
      </c>
      <c r="K14" s="261"/>
      <c r="L14" s="24">
        <v>426</v>
      </c>
      <c r="M14" s="261"/>
      <c r="N14" s="24">
        <v>442</v>
      </c>
      <c r="O14" s="261"/>
      <c r="P14" s="24">
        <v>452</v>
      </c>
      <c r="Q14" s="269"/>
      <c r="R14" s="24">
        <f>179+290</f>
        <v>469</v>
      </c>
      <c r="S14" s="269"/>
      <c r="T14" s="102">
        <v>503</v>
      </c>
      <c r="U14" s="267"/>
      <c r="W14" s="16">
        <f t="shared" si="0"/>
        <v>458.4</v>
      </c>
      <c r="X14" s="275"/>
    </row>
    <row r="15" spans="1:24" s="53" customFormat="1" ht="15" customHeight="1" thickBot="1" x14ac:dyDescent="0.25">
      <c r="A15" s="75" t="s">
        <v>18</v>
      </c>
      <c r="B15" s="407">
        <f t="shared" ref="B15:R15" si="1">SUM(B13:B14)</f>
        <v>638</v>
      </c>
      <c r="C15" s="410">
        <v>102</v>
      </c>
      <c r="D15" s="68">
        <f t="shared" si="1"/>
        <v>642</v>
      </c>
      <c r="E15" s="77">
        <v>106</v>
      </c>
      <c r="F15" s="68">
        <f t="shared" si="1"/>
        <v>699</v>
      </c>
      <c r="G15" s="410">
        <v>90</v>
      </c>
      <c r="H15" s="68">
        <f t="shared" si="1"/>
        <v>706</v>
      </c>
      <c r="I15" s="77">
        <v>98</v>
      </c>
      <c r="J15" s="68">
        <f t="shared" si="1"/>
        <v>721</v>
      </c>
      <c r="K15" s="77">
        <v>112</v>
      </c>
      <c r="L15" s="68">
        <f>SUM(L13:L14)</f>
        <v>783</v>
      </c>
      <c r="M15" s="77">
        <v>112</v>
      </c>
      <c r="N15" s="407">
        <f t="shared" si="1"/>
        <v>854</v>
      </c>
      <c r="O15" s="77">
        <v>141</v>
      </c>
      <c r="P15" s="68">
        <f t="shared" si="1"/>
        <v>884</v>
      </c>
      <c r="Q15" s="68">
        <v>137</v>
      </c>
      <c r="R15" s="68">
        <f t="shared" si="1"/>
        <v>946</v>
      </c>
      <c r="S15" s="77">
        <v>148</v>
      </c>
      <c r="T15" s="68">
        <f t="shared" ref="T15:U15" si="2">SUM(T13:T14)</f>
        <v>970</v>
      </c>
      <c r="U15" s="825">
        <f t="shared" si="2"/>
        <v>0</v>
      </c>
      <c r="W15" s="327">
        <f t="shared" si="0"/>
        <v>887.4</v>
      </c>
      <c r="X15" s="328">
        <f>AVERAGE(O15,M15,K15,S15,Q15)</f>
        <v>130</v>
      </c>
    </row>
    <row r="16" spans="1:24" s="53" customFormat="1" ht="15" customHeight="1" x14ac:dyDescent="0.2">
      <c r="A16" s="131" t="s">
        <v>20</v>
      </c>
      <c r="B16" s="145">
        <v>34</v>
      </c>
      <c r="C16" s="146">
        <v>15</v>
      </c>
      <c r="D16" s="145">
        <v>32</v>
      </c>
      <c r="E16" s="147">
        <v>8</v>
      </c>
      <c r="F16" s="157">
        <v>37</v>
      </c>
      <c r="G16" s="147">
        <v>7</v>
      </c>
      <c r="H16" s="157">
        <v>40</v>
      </c>
      <c r="I16" s="147">
        <v>21</v>
      </c>
      <c r="J16" s="157">
        <v>29</v>
      </c>
      <c r="K16" s="147">
        <v>10</v>
      </c>
      <c r="L16" s="157">
        <v>22</v>
      </c>
      <c r="M16" s="147">
        <v>4</v>
      </c>
      <c r="N16" s="157">
        <v>22</v>
      </c>
      <c r="O16" s="147">
        <v>13</v>
      </c>
      <c r="P16" s="157">
        <v>25</v>
      </c>
      <c r="Q16" s="147">
        <v>10</v>
      </c>
      <c r="R16" s="157">
        <v>29</v>
      </c>
      <c r="S16" s="147">
        <v>5</v>
      </c>
      <c r="T16" s="118">
        <v>19</v>
      </c>
      <c r="U16" s="877"/>
      <c r="W16" s="16">
        <f t="shared" si="0"/>
        <v>23.4</v>
      </c>
      <c r="X16" s="21">
        <f t="shared" ref="X16:X22" si="3">AVERAGE(O16,M16,K16,S16,Q16)</f>
        <v>8.4</v>
      </c>
    </row>
    <row r="17" spans="1:24" s="53" customFormat="1" ht="15" customHeight="1" x14ac:dyDescent="0.2">
      <c r="A17" s="406" t="s">
        <v>87</v>
      </c>
      <c r="B17" s="145">
        <v>16</v>
      </c>
      <c r="C17" s="155">
        <v>3</v>
      </c>
      <c r="D17" s="145">
        <v>16</v>
      </c>
      <c r="E17" s="156">
        <v>1</v>
      </c>
      <c r="F17" s="157">
        <v>23</v>
      </c>
      <c r="G17" s="156">
        <v>1</v>
      </c>
      <c r="H17" s="157">
        <v>23</v>
      </c>
      <c r="I17" s="156">
        <v>4</v>
      </c>
      <c r="J17" s="157">
        <v>21</v>
      </c>
      <c r="K17" s="156">
        <v>6</v>
      </c>
      <c r="L17" s="157">
        <v>19</v>
      </c>
      <c r="M17" s="156">
        <v>2</v>
      </c>
      <c r="N17" s="157">
        <v>19</v>
      </c>
      <c r="O17" s="156">
        <v>1</v>
      </c>
      <c r="P17" s="157">
        <v>21</v>
      </c>
      <c r="Q17" s="156">
        <v>4</v>
      </c>
      <c r="R17" s="157">
        <v>20</v>
      </c>
      <c r="S17" s="156">
        <v>1</v>
      </c>
      <c r="T17" s="300">
        <v>29</v>
      </c>
      <c r="U17" s="853"/>
      <c r="W17" s="16">
        <f t="shared" si="0"/>
        <v>21.6</v>
      </c>
      <c r="X17" s="21">
        <f t="shared" si="3"/>
        <v>2.8</v>
      </c>
    </row>
    <row r="18" spans="1:24" s="20" customFormat="1" ht="15" customHeight="1" x14ac:dyDescent="0.2">
      <c r="A18" s="115" t="s">
        <v>115</v>
      </c>
      <c r="B18" s="145">
        <v>0</v>
      </c>
      <c r="C18" s="155">
        <v>0</v>
      </c>
      <c r="D18" s="145">
        <v>0</v>
      </c>
      <c r="E18" s="156">
        <v>0</v>
      </c>
      <c r="F18" s="157">
        <v>0</v>
      </c>
      <c r="G18" s="156">
        <v>0</v>
      </c>
      <c r="H18" s="157">
        <v>0</v>
      </c>
      <c r="I18" s="156">
        <v>0</v>
      </c>
      <c r="J18" s="157">
        <v>0</v>
      </c>
      <c r="K18" s="156">
        <v>0</v>
      </c>
      <c r="L18" s="157">
        <v>0</v>
      </c>
      <c r="M18" s="156">
        <v>0</v>
      </c>
      <c r="N18" s="157">
        <v>0</v>
      </c>
      <c r="O18" s="156">
        <v>0</v>
      </c>
      <c r="P18" s="157">
        <v>0</v>
      </c>
      <c r="Q18" s="156">
        <v>0</v>
      </c>
      <c r="R18" s="157">
        <v>0</v>
      </c>
      <c r="S18" s="156">
        <v>0</v>
      </c>
      <c r="T18" s="110">
        <v>0</v>
      </c>
      <c r="U18" s="826"/>
      <c r="W18" s="16">
        <f t="shared" si="0"/>
        <v>0</v>
      </c>
      <c r="X18" s="21">
        <f t="shared" si="3"/>
        <v>0</v>
      </c>
    </row>
    <row r="19" spans="1:24" s="20" customFormat="1" ht="15" customHeight="1" x14ac:dyDescent="0.2">
      <c r="A19" s="104" t="s">
        <v>116</v>
      </c>
      <c r="B19" s="274"/>
      <c r="C19" s="260"/>
      <c r="D19" s="19"/>
      <c r="E19" s="778"/>
      <c r="F19" s="19"/>
      <c r="G19" s="778"/>
      <c r="H19" s="19"/>
      <c r="I19" s="778"/>
      <c r="J19" s="19"/>
      <c r="K19" s="778"/>
      <c r="L19" s="19"/>
      <c r="M19" s="778"/>
      <c r="N19" s="19"/>
      <c r="O19" s="778"/>
      <c r="P19" s="19"/>
      <c r="Q19" s="778"/>
      <c r="R19" s="19"/>
      <c r="S19" s="778"/>
      <c r="T19" s="19"/>
      <c r="U19" s="90"/>
      <c r="V19" s="782"/>
      <c r="W19" s="775"/>
      <c r="X19" s="21"/>
    </row>
    <row r="20" spans="1:24" s="20" customFormat="1" ht="15" customHeight="1" x14ac:dyDescent="0.2">
      <c r="A20" s="123" t="s">
        <v>117</v>
      </c>
      <c r="B20" s="176"/>
      <c r="C20" s="177"/>
      <c r="D20" s="176"/>
      <c r="E20" s="178"/>
      <c r="F20" s="179"/>
      <c r="G20" s="178"/>
      <c r="H20" s="179"/>
      <c r="I20" s="178"/>
      <c r="J20" s="157">
        <v>2</v>
      </c>
      <c r="K20" s="34">
        <v>0</v>
      </c>
      <c r="L20" s="157">
        <v>3</v>
      </c>
      <c r="M20" s="34">
        <v>0</v>
      </c>
      <c r="N20" s="157">
        <v>4</v>
      </c>
      <c r="O20" s="34">
        <v>0</v>
      </c>
      <c r="P20" s="157">
        <v>4</v>
      </c>
      <c r="Q20" s="34">
        <v>0</v>
      </c>
      <c r="R20" s="157">
        <v>2</v>
      </c>
      <c r="S20" s="34">
        <v>0</v>
      </c>
      <c r="T20" s="19">
        <v>1</v>
      </c>
      <c r="U20" s="90"/>
      <c r="W20" s="16">
        <f>AVERAGE(N20,L20,R20,T20,P20)</f>
        <v>2.8</v>
      </c>
      <c r="X20" s="21">
        <f t="shared" si="3"/>
        <v>0</v>
      </c>
    </row>
    <row r="21" spans="1:24" s="20" customFormat="1" ht="15" customHeight="1" x14ac:dyDescent="0.2">
      <c r="A21" s="123" t="s">
        <v>97</v>
      </c>
      <c r="B21" s="145">
        <v>13</v>
      </c>
      <c r="C21" s="35">
        <v>1</v>
      </c>
      <c r="D21" s="145">
        <v>10</v>
      </c>
      <c r="E21" s="34">
        <v>3</v>
      </c>
      <c r="F21" s="157">
        <v>13</v>
      </c>
      <c r="G21" s="34">
        <v>7</v>
      </c>
      <c r="H21" s="157">
        <v>5</v>
      </c>
      <c r="I21" s="34">
        <v>1</v>
      </c>
      <c r="J21" s="157">
        <v>4</v>
      </c>
      <c r="K21" s="34">
        <v>0</v>
      </c>
      <c r="L21" s="157">
        <v>2</v>
      </c>
      <c r="M21" s="34">
        <v>2</v>
      </c>
      <c r="N21" s="157">
        <v>2</v>
      </c>
      <c r="O21" s="34">
        <v>1</v>
      </c>
      <c r="P21" s="157">
        <v>7</v>
      </c>
      <c r="Q21" s="34">
        <v>1</v>
      </c>
      <c r="R21" s="157">
        <v>6</v>
      </c>
      <c r="S21" s="34">
        <v>1</v>
      </c>
      <c r="T21" s="19">
        <v>4</v>
      </c>
      <c r="U21" s="90"/>
      <c r="W21" s="16">
        <f>AVERAGE(N21,L21,R21,T21,P21)</f>
        <v>4.2</v>
      </c>
      <c r="X21" s="21">
        <f t="shared" si="3"/>
        <v>1</v>
      </c>
    </row>
    <row r="22" spans="1:24" s="20" customFormat="1" ht="15" customHeight="1" thickBot="1" x14ac:dyDescent="0.25">
      <c r="A22" s="686" t="s">
        <v>87</v>
      </c>
      <c r="B22" s="180">
        <v>8</v>
      </c>
      <c r="C22" s="173">
        <v>0</v>
      </c>
      <c r="D22" s="180">
        <v>14</v>
      </c>
      <c r="E22" s="174">
        <v>1</v>
      </c>
      <c r="F22" s="164">
        <v>8</v>
      </c>
      <c r="G22" s="174">
        <v>1</v>
      </c>
      <c r="H22" s="164">
        <v>12</v>
      </c>
      <c r="I22" s="174">
        <v>2</v>
      </c>
      <c r="J22" s="164">
        <v>11</v>
      </c>
      <c r="K22" s="174">
        <v>3</v>
      </c>
      <c r="L22" s="164">
        <v>9</v>
      </c>
      <c r="M22" s="174">
        <v>0</v>
      </c>
      <c r="N22" s="164">
        <v>8</v>
      </c>
      <c r="O22" s="174">
        <v>1</v>
      </c>
      <c r="P22" s="164">
        <v>10</v>
      </c>
      <c r="Q22" s="174">
        <v>2</v>
      </c>
      <c r="R22" s="164">
        <v>11</v>
      </c>
      <c r="S22" s="174">
        <v>2</v>
      </c>
      <c r="T22" s="133">
        <v>19</v>
      </c>
      <c r="U22" s="834"/>
      <c r="W22" s="16">
        <f>AVERAGE(N22,L22,R22,T22,P22)</f>
        <v>11.4</v>
      </c>
      <c r="X22" s="21">
        <f t="shared" si="3"/>
        <v>1.6</v>
      </c>
    </row>
    <row r="23" spans="1:24" ht="18" customHeight="1" thickTop="1" thickBot="1" x14ac:dyDescent="0.25">
      <c r="A23" s="52" t="s">
        <v>68</v>
      </c>
      <c r="B23" s="979"/>
      <c r="C23" s="980"/>
      <c r="D23" s="979"/>
      <c r="E23" s="980"/>
      <c r="F23" s="979"/>
      <c r="G23" s="980"/>
      <c r="H23" s="979"/>
      <c r="I23" s="980"/>
      <c r="J23" s="979"/>
      <c r="K23" s="980"/>
      <c r="L23" s="979"/>
      <c r="M23" s="980"/>
      <c r="N23" s="979"/>
      <c r="O23" s="980"/>
      <c r="P23" s="979"/>
      <c r="Q23" s="980"/>
      <c r="R23" s="979"/>
      <c r="S23" s="980"/>
      <c r="T23" s="979"/>
      <c r="U23" s="981"/>
      <c r="W23" s="957"/>
      <c r="X23" s="958"/>
    </row>
    <row r="24" spans="1:24" ht="15" customHeight="1" x14ac:dyDescent="0.2">
      <c r="A24" s="568" t="s">
        <v>75</v>
      </c>
      <c r="B24" s="265"/>
      <c r="C24" s="82"/>
      <c r="D24" s="265"/>
      <c r="E24" s="82"/>
      <c r="F24" s="265"/>
      <c r="G24" s="82"/>
      <c r="H24" s="265"/>
      <c r="I24" s="82"/>
      <c r="J24" s="265"/>
      <c r="K24" s="82"/>
      <c r="L24" s="265"/>
      <c r="M24" s="82"/>
      <c r="N24" s="265"/>
      <c r="O24" s="82"/>
      <c r="P24" s="265"/>
      <c r="Q24" s="82"/>
      <c r="R24" s="265"/>
      <c r="S24" s="82"/>
      <c r="T24" s="265"/>
      <c r="U24" s="83"/>
      <c r="V24" s="277"/>
      <c r="W24" s="662"/>
      <c r="X24" s="614" t="e">
        <f>AVERAGE(O24,M24,S24,U24,Q24)</f>
        <v>#DIV/0!</v>
      </c>
    </row>
    <row r="25" spans="1:24" ht="15" customHeight="1" x14ac:dyDescent="0.2">
      <c r="A25" s="463" t="s">
        <v>69</v>
      </c>
      <c r="B25" s="281"/>
      <c r="C25" s="80">
        <v>0.78</v>
      </c>
      <c r="D25" s="281"/>
      <c r="E25" s="80">
        <v>0.8</v>
      </c>
      <c r="F25" s="281"/>
      <c r="G25" s="80">
        <v>0.72</v>
      </c>
      <c r="H25" s="281"/>
      <c r="I25" s="80">
        <v>0.79</v>
      </c>
      <c r="J25" s="281"/>
      <c r="K25" s="80">
        <v>0.85</v>
      </c>
      <c r="L25" s="281"/>
      <c r="M25" s="80">
        <v>0.82</v>
      </c>
      <c r="N25" s="281"/>
      <c r="O25" s="80">
        <v>0.88</v>
      </c>
      <c r="P25" s="281"/>
      <c r="Q25" s="80">
        <v>0.79</v>
      </c>
      <c r="R25" s="281"/>
      <c r="S25" s="935"/>
      <c r="T25" s="281"/>
      <c r="U25" s="828"/>
      <c r="V25" s="277"/>
      <c r="W25" s="657"/>
      <c r="X25" s="615">
        <f t="shared" ref="X25:X26" si="4">AVERAGE(O25,M25,K25,S25,Q25)</f>
        <v>0.83499999999999996</v>
      </c>
    </row>
    <row r="26" spans="1:24" ht="15" customHeight="1" x14ac:dyDescent="0.2">
      <c r="A26" s="463" t="s">
        <v>70</v>
      </c>
      <c r="B26" s="282"/>
      <c r="C26" s="81">
        <v>0.19</v>
      </c>
      <c r="D26" s="282"/>
      <c r="E26" s="81">
        <v>0.12</v>
      </c>
      <c r="F26" s="282"/>
      <c r="G26" s="81">
        <v>0.1</v>
      </c>
      <c r="H26" s="282"/>
      <c r="I26" s="81">
        <v>0.14000000000000001</v>
      </c>
      <c r="J26" s="282"/>
      <c r="K26" s="81">
        <v>0.09</v>
      </c>
      <c r="L26" s="282"/>
      <c r="M26" s="81">
        <v>0.14000000000000001</v>
      </c>
      <c r="N26" s="282"/>
      <c r="O26" s="81">
        <v>7.0000000000000007E-2</v>
      </c>
      <c r="P26" s="282"/>
      <c r="Q26" s="81">
        <v>0.15</v>
      </c>
      <c r="R26" s="282"/>
      <c r="S26" s="936"/>
      <c r="T26" s="282"/>
      <c r="U26" s="835"/>
      <c r="V26" s="277"/>
      <c r="W26" s="657"/>
      <c r="X26" s="615">
        <f t="shared" si="4"/>
        <v>0.11250000000000002</v>
      </c>
    </row>
    <row r="27" spans="1:24" ht="15" customHeight="1" thickBot="1" x14ac:dyDescent="0.25">
      <c r="A27" s="570" t="s">
        <v>72</v>
      </c>
      <c r="B27" s="56"/>
      <c r="C27" s="57"/>
      <c r="D27" s="56"/>
      <c r="E27" s="57"/>
      <c r="F27" s="56"/>
      <c r="G27" s="57"/>
      <c r="H27" s="56"/>
      <c r="I27" s="57"/>
      <c r="J27" s="56"/>
      <c r="K27" s="57"/>
      <c r="L27" s="56"/>
      <c r="M27" s="57"/>
      <c r="N27" s="56"/>
      <c r="O27" s="57"/>
      <c r="P27" s="56"/>
      <c r="Q27" s="57"/>
      <c r="R27" s="56"/>
      <c r="S27" s="57"/>
      <c r="T27" s="56"/>
      <c r="U27" s="58"/>
      <c r="W27" s="617"/>
      <c r="X27" s="816" t="e">
        <f>AVERAGE(O27,M27,S27,U27,Q27)</f>
        <v>#DIV/0!</v>
      </c>
    </row>
    <row r="28" spans="1:24" ht="18" customHeight="1" thickTop="1" thickBot="1" x14ac:dyDescent="0.25">
      <c r="A28" s="230" t="s">
        <v>74</v>
      </c>
      <c r="B28" s="967"/>
      <c r="C28" s="968"/>
      <c r="D28" s="967"/>
      <c r="E28" s="968"/>
      <c r="F28" s="967"/>
      <c r="G28" s="968"/>
      <c r="H28" s="967"/>
      <c r="I28" s="968"/>
      <c r="J28" s="967"/>
      <c r="K28" s="968"/>
      <c r="L28" s="967"/>
      <c r="M28" s="968"/>
      <c r="N28" s="967"/>
      <c r="O28" s="968"/>
      <c r="P28" s="967"/>
      <c r="Q28" s="968"/>
      <c r="R28" s="967"/>
      <c r="S28" s="968"/>
      <c r="T28" s="967"/>
      <c r="U28" s="962"/>
      <c r="V28" s="231"/>
      <c r="W28" s="961"/>
      <c r="X28" s="962"/>
    </row>
    <row r="29" spans="1:24" ht="15" customHeight="1" thickBot="1" x14ac:dyDescent="0.25">
      <c r="A29" s="571" t="s">
        <v>118</v>
      </c>
      <c r="B29" s="232"/>
      <c r="C29" s="233">
        <v>27</v>
      </c>
      <c r="D29" s="232"/>
      <c r="E29" s="233">
        <v>27.2</v>
      </c>
      <c r="F29" s="232"/>
      <c r="G29" s="233">
        <v>27.5</v>
      </c>
      <c r="H29" s="232"/>
      <c r="I29" s="233">
        <v>27.3</v>
      </c>
      <c r="J29" s="232"/>
      <c r="K29" s="233">
        <v>27.3</v>
      </c>
      <c r="L29" s="232"/>
      <c r="M29" s="233">
        <v>27.4</v>
      </c>
      <c r="N29" s="232"/>
      <c r="O29" s="233">
        <v>27.2</v>
      </c>
      <c r="P29" s="232"/>
      <c r="Q29" s="233">
        <v>27.3</v>
      </c>
      <c r="R29" s="232"/>
      <c r="S29" s="233">
        <v>27.1</v>
      </c>
      <c r="T29" s="232"/>
      <c r="U29" s="234"/>
      <c r="V29" s="231"/>
      <c r="W29" s="235"/>
      <c r="X29" s="612">
        <f>AVERAGE(O29,M29,S29,U29,Q29)</f>
        <v>27.249999999999996</v>
      </c>
    </row>
    <row r="30" spans="1:24" ht="18" customHeight="1" thickTop="1" thickBot="1" x14ac:dyDescent="0.25">
      <c r="A30" s="63" t="s">
        <v>21</v>
      </c>
      <c r="B30" s="979"/>
      <c r="C30" s="980"/>
      <c r="D30" s="979"/>
      <c r="E30" s="980"/>
      <c r="F30" s="979"/>
      <c r="G30" s="980"/>
      <c r="H30" s="979"/>
      <c r="I30" s="980"/>
      <c r="J30" s="979"/>
      <c r="K30" s="980"/>
      <c r="L30" s="979"/>
      <c r="M30" s="980"/>
      <c r="N30" s="979"/>
      <c r="O30" s="980"/>
      <c r="P30" s="979"/>
      <c r="Q30" s="980"/>
      <c r="R30" s="979"/>
      <c r="S30" s="980"/>
      <c r="T30" s="979"/>
      <c r="U30" s="981"/>
      <c r="W30" s="957"/>
      <c r="X30" s="958"/>
    </row>
    <row r="31" spans="1:24" ht="15" customHeight="1" x14ac:dyDescent="0.2">
      <c r="A31" s="463" t="s">
        <v>22</v>
      </c>
      <c r="B31" s="33"/>
      <c r="C31" s="35">
        <f>1112+75</f>
        <v>1187</v>
      </c>
      <c r="D31" s="32"/>
      <c r="E31" s="34">
        <v>1142</v>
      </c>
      <c r="F31" s="33"/>
      <c r="G31" s="34">
        <v>1133</v>
      </c>
      <c r="H31" s="33"/>
      <c r="I31" s="34">
        <v>1159</v>
      </c>
      <c r="J31" s="33"/>
      <c r="K31" s="34">
        <v>1147</v>
      </c>
      <c r="L31" s="33"/>
      <c r="M31" s="34">
        <v>1250</v>
      </c>
      <c r="N31" s="33"/>
      <c r="O31" s="34">
        <v>1392</v>
      </c>
      <c r="P31" s="33"/>
      <c r="Q31" s="34">
        <v>1313</v>
      </c>
      <c r="R31" s="33"/>
      <c r="S31" s="34">
        <v>1614</v>
      </c>
      <c r="T31" s="33"/>
      <c r="U31" s="822"/>
      <c r="W31" s="36"/>
      <c r="X31" s="37">
        <f>AVERAGE(O31,M31,K31,S31,Q31)</f>
        <v>1343.2</v>
      </c>
    </row>
    <row r="32" spans="1:24" ht="15" customHeight="1" x14ac:dyDescent="0.2">
      <c r="A32" s="463" t="s">
        <v>23</v>
      </c>
      <c r="B32" s="33"/>
      <c r="C32" s="35">
        <f>5888+678</f>
        <v>6566</v>
      </c>
      <c r="D32" s="32"/>
      <c r="E32" s="34">
        <v>6165</v>
      </c>
      <c r="F32" s="33"/>
      <c r="G32" s="34">
        <v>6367</v>
      </c>
      <c r="H32" s="33"/>
      <c r="I32" s="34">
        <v>7051</v>
      </c>
      <c r="J32" s="33"/>
      <c r="K32" s="34">
        <v>7255</v>
      </c>
      <c r="L32" s="33"/>
      <c r="M32" s="34">
        <v>7977</v>
      </c>
      <c r="N32" s="33"/>
      <c r="O32" s="34">
        <v>8176</v>
      </c>
      <c r="P32" s="33"/>
      <c r="Q32" s="34">
        <v>8304</v>
      </c>
      <c r="R32" s="33"/>
      <c r="S32" s="34">
        <v>9484</v>
      </c>
      <c r="T32" s="33"/>
      <c r="U32" s="822"/>
      <c r="W32" s="38"/>
      <c r="X32" s="37">
        <f t="shared" ref="X32:X35" si="5">AVERAGE(O32,M32,K32,S32,Q32)</f>
        <v>8239.2000000000007</v>
      </c>
    </row>
    <row r="33" spans="1:27" ht="15" customHeight="1" x14ac:dyDescent="0.2">
      <c r="A33" s="463" t="s">
        <v>24</v>
      </c>
      <c r="B33" s="33"/>
      <c r="C33" s="35">
        <f>474+88</f>
        <v>562</v>
      </c>
      <c r="D33" s="32"/>
      <c r="E33" s="34">
        <v>535</v>
      </c>
      <c r="F33" s="33"/>
      <c r="G33" s="34">
        <v>690</v>
      </c>
      <c r="H33" s="33"/>
      <c r="I33" s="34">
        <v>595</v>
      </c>
      <c r="J33" s="33"/>
      <c r="K33" s="34">
        <v>449</v>
      </c>
      <c r="L33" s="33"/>
      <c r="M33" s="34">
        <v>392</v>
      </c>
      <c r="N33" s="33"/>
      <c r="O33" s="34">
        <v>392</v>
      </c>
      <c r="P33" s="33"/>
      <c r="Q33" s="34">
        <v>435</v>
      </c>
      <c r="R33" s="33"/>
      <c r="S33" s="34">
        <v>476</v>
      </c>
      <c r="T33" s="33"/>
      <c r="U33" s="822"/>
      <c r="W33" s="38"/>
      <c r="X33" s="37">
        <f t="shared" si="5"/>
        <v>428.8</v>
      </c>
    </row>
    <row r="34" spans="1:27" ht="15" customHeight="1" thickBot="1" x14ac:dyDescent="0.25">
      <c r="A34" s="610" t="s">
        <v>25</v>
      </c>
      <c r="B34" s="69"/>
      <c r="C34" s="35">
        <f>157+130</f>
        <v>287</v>
      </c>
      <c r="D34" s="32"/>
      <c r="E34" s="34">
        <v>318</v>
      </c>
      <c r="F34" s="33"/>
      <c r="G34" s="34">
        <v>318</v>
      </c>
      <c r="H34" s="33"/>
      <c r="I34" s="34">
        <v>334</v>
      </c>
      <c r="J34" s="33"/>
      <c r="K34" s="34">
        <v>275</v>
      </c>
      <c r="L34" s="33"/>
      <c r="M34" s="34">
        <v>326</v>
      </c>
      <c r="N34" s="33"/>
      <c r="O34" s="34">
        <v>371</v>
      </c>
      <c r="P34" s="33"/>
      <c r="Q34" s="34">
        <v>334</v>
      </c>
      <c r="R34" s="33"/>
      <c r="S34" s="34">
        <v>281</v>
      </c>
      <c r="T34" s="69"/>
      <c r="U34" s="830"/>
      <c r="W34" s="45"/>
      <c r="X34" s="335">
        <f t="shared" si="5"/>
        <v>317.39999999999998</v>
      </c>
    </row>
    <row r="35" spans="1:27" ht="15" customHeight="1" thickBot="1" x14ac:dyDescent="0.25">
      <c r="A35" s="611" t="s">
        <v>26</v>
      </c>
      <c r="B35" s="72"/>
      <c r="C35" s="73">
        <f>SUM(C31:C34)</f>
        <v>8602</v>
      </c>
      <c r="D35" s="71"/>
      <c r="E35" s="70">
        <f>SUM(E31:E34)</f>
        <v>8160</v>
      </c>
      <c r="F35" s="72"/>
      <c r="G35" s="70">
        <f>SUM(G31:G34)</f>
        <v>8508</v>
      </c>
      <c r="H35" s="72"/>
      <c r="I35" s="70">
        <f>SUM(I31:I34)</f>
        <v>9139</v>
      </c>
      <c r="J35" s="72"/>
      <c r="K35" s="70">
        <f>SUM(K31:K34)</f>
        <v>9126</v>
      </c>
      <c r="L35" s="72"/>
      <c r="M35" s="70">
        <f>SUM(M31:M34)</f>
        <v>9945</v>
      </c>
      <c r="N35" s="72"/>
      <c r="O35" s="70">
        <f>SUM(O31:O34)</f>
        <v>10331</v>
      </c>
      <c r="P35" s="72"/>
      <c r="Q35" s="70">
        <f>SUM(Q31:Q34)</f>
        <v>10386</v>
      </c>
      <c r="R35" s="72"/>
      <c r="S35" s="70">
        <f>SUM(S31:S34)</f>
        <v>11855</v>
      </c>
      <c r="T35" s="72"/>
      <c r="U35" s="831">
        <f>SUM(U31:U34)</f>
        <v>0</v>
      </c>
      <c r="W35" s="338"/>
      <c r="X35" s="339">
        <f t="shared" si="5"/>
        <v>10328.6</v>
      </c>
    </row>
    <row r="36" spans="1:27" ht="15" customHeight="1" thickTop="1" thickBot="1" x14ac:dyDescent="0.25">
      <c r="A36" s="43"/>
      <c r="B36" s="59"/>
      <c r="C36" s="61"/>
      <c r="D36" s="59"/>
      <c r="E36" s="62"/>
      <c r="F36" s="59"/>
      <c r="G36" s="62"/>
      <c r="H36" s="59"/>
      <c r="I36" s="62"/>
      <c r="J36" s="59"/>
      <c r="K36" s="62"/>
      <c r="L36" s="59"/>
      <c r="M36" s="62"/>
      <c r="N36" s="59"/>
      <c r="O36" s="62"/>
      <c r="P36" s="59"/>
      <c r="Q36" s="62"/>
      <c r="R36" s="59"/>
      <c r="S36" s="62"/>
      <c r="T36" s="59"/>
      <c r="U36" s="62"/>
      <c r="V36" s="66"/>
      <c r="W36" s="65"/>
      <c r="X36" s="61"/>
    </row>
    <row r="37" spans="1:27" ht="18" customHeight="1" thickTop="1" thickBot="1" x14ac:dyDescent="0.25">
      <c r="A37" s="214" t="s">
        <v>27</v>
      </c>
      <c r="B37" s="955" t="s">
        <v>28</v>
      </c>
      <c r="C37" s="966"/>
      <c r="D37" s="955" t="s">
        <v>29</v>
      </c>
      <c r="E37" s="956"/>
      <c r="F37" s="955" t="s">
        <v>30</v>
      </c>
      <c r="G37" s="956"/>
      <c r="H37" s="955" t="s">
        <v>31</v>
      </c>
      <c r="I37" s="956"/>
      <c r="J37" s="955" t="s">
        <v>32</v>
      </c>
      <c r="K37" s="956"/>
      <c r="L37" s="955" t="s">
        <v>33</v>
      </c>
      <c r="M37" s="956"/>
      <c r="N37" s="955" t="s">
        <v>34</v>
      </c>
      <c r="O37" s="956"/>
      <c r="P37" s="955" t="s">
        <v>35</v>
      </c>
      <c r="Q37" s="956"/>
      <c r="R37" s="955" t="s">
        <v>36</v>
      </c>
      <c r="S37" s="956"/>
      <c r="T37" s="955" t="s">
        <v>187</v>
      </c>
      <c r="U37" s="963"/>
      <c r="V37" s="431"/>
      <c r="W37" s="961" t="s">
        <v>9</v>
      </c>
      <c r="X37" s="962"/>
      <c r="Y37" s="42"/>
      <c r="Z37" s="42"/>
      <c r="AA37" s="43"/>
    </row>
    <row r="38" spans="1:27" ht="15" customHeight="1" x14ac:dyDescent="0.2">
      <c r="A38" s="432" t="s">
        <v>143</v>
      </c>
      <c r="B38" s="215"/>
      <c r="C38" s="216">
        <v>0.68300000000000005</v>
      </c>
      <c r="D38" s="217"/>
      <c r="E38" s="218">
        <v>0.69099999999999995</v>
      </c>
      <c r="F38" s="219"/>
      <c r="G38" s="218">
        <v>0.67600000000000005</v>
      </c>
      <c r="H38" s="219"/>
      <c r="I38" s="218">
        <v>0.68799999999999994</v>
      </c>
      <c r="J38" s="219"/>
      <c r="K38" s="218">
        <v>0.70399999999999996</v>
      </c>
      <c r="L38" s="219"/>
      <c r="M38" s="218">
        <v>0.72699999999999998</v>
      </c>
      <c r="N38" s="219"/>
      <c r="O38" s="218">
        <v>0.73899999999999999</v>
      </c>
      <c r="P38" s="219"/>
      <c r="Q38" s="218">
        <v>0.74299999999999999</v>
      </c>
      <c r="R38" s="219"/>
      <c r="S38" s="218">
        <v>0.75</v>
      </c>
      <c r="T38" s="219"/>
      <c r="U38" s="220">
        <v>0.74099999999999999</v>
      </c>
      <c r="V38" s="428"/>
      <c r="W38" s="221"/>
      <c r="X38" s="222">
        <f>AVERAGE(O38,M38,S38,U38,Q38)</f>
        <v>0.74</v>
      </c>
      <c r="Y38" s="42"/>
      <c r="Z38" s="42"/>
      <c r="AA38" s="43"/>
    </row>
    <row r="39" spans="1:27" ht="15" customHeight="1" x14ac:dyDescent="0.2">
      <c r="A39" s="433" t="s">
        <v>144</v>
      </c>
      <c r="B39" s="223"/>
      <c r="C39" s="224">
        <v>0.08</v>
      </c>
      <c r="D39" s="223"/>
      <c r="E39" s="224">
        <v>9.5000000000000001E-2</v>
      </c>
      <c r="F39" s="225"/>
      <c r="G39" s="224">
        <v>0.104</v>
      </c>
      <c r="H39" s="225"/>
      <c r="I39" s="224">
        <v>0.10299999999999999</v>
      </c>
      <c r="J39" s="225"/>
      <c r="K39" s="224">
        <v>8.3000000000000004E-2</v>
      </c>
      <c r="L39" s="225"/>
      <c r="M39" s="224">
        <v>5.6000000000000001E-2</v>
      </c>
      <c r="N39" s="225"/>
      <c r="O39" s="224">
        <v>6.0999999999999999E-2</v>
      </c>
      <c r="P39" s="225"/>
      <c r="Q39" s="224">
        <v>7.1999999999999995E-2</v>
      </c>
      <c r="R39" s="225"/>
      <c r="S39" s="224">
        <v>6.4000000000000001E-2</v>
      </c>
      <c r="T39" s="225"/>
      <c r="U39" s="226">
        <v>7.2999999999999995E-2</v>
      </c>
      <c r="V39" s="428"/>
      <c r="W39" s="227"/>
      <c r="X39" s="228">
        <f>AVERAGE(O39,M39,S39,U39,Q39)</f>
        <v>6.5200000000000008E-2</v>
      </c>
      <c r="Y39" s="42"/>
      <c r="Z39" s="42"/>
      <c r="AA39" s="43"/>
    </row>
    <row r="40" spans="1:27" ht="15" customHeight="1" thickBot="1" x14ac:dyDescent="0.25">
      <c r="A40" s="229" t="s">
        <v>147</v>
      </c>
      <c r="B40" s="973">
        <f>1-C38-C39</f>
        <v>0.23699999999999993</v>
      </c>
      <c r="C40" s="970"/>
      <c r="D40" s="973">
        <f>1-E38-E39</f>
        <v>0.21400000000000005</v>
      </c>
      <c r="E40" s="970"/>
      <c r="F40" s="973">
        <f>1-G38-G39</f>
        <v>0.21999999999999997</v>
      </c>
      <c r="G40" s="970"/>
      <c r="H40" s="973">
        <f>1-I38-I39</f>
        <v>0.20900000000000007</v>
      </c>
      <c r="I40" s="970"/>
      <c r="J40" s="973">
        <f>1-K38-K39</f>
        <v>0.21300000000000002</v>
      </c>
      <c r="K40" s="970"/>
      <c r="L40" s="973">
        <f>1-M38-M39</f>
        <v>0.21700000000000003</v>
      </c>
      <c r="M40" s="970"/>
      <c r="N40" s="973">
        <f>1-O38-O39</f>
        <v>0.2</v>
      </c>
      <c r="O40" s="970"/>
      <c r="P40" s="973">
        <f>1-Q38-Q39</f>
        <v>0.185</v>
      </c>
      <c r="Q40" s="970"/>
      <c r="R40" s="973">
        <f>1-S38-S39</f>
        <v>0.186</v>
      </c>
      <c r="S40" s="970"/>
      <c r="T40" s="973">
        <f>1-U38-U39</f>
        <v>0.186</v>
      </c>
      <c r="U40" s="972"/>
      <c r="V40" s="428"/>
      <c r="W40" s="971">
        <f>1-X38-X39</f>
        <v>0.1948</v>
      </c>
      <c r="X40" s="972"/>
      <c r="Y40" s="44"/>
      <c r="Z40" s="42"/>
      <c r="AA40" s="43"/>
    </row>
    <row r="41" spans="1:27" s="2" customFormat="1" ht="18" customHeight="1" thickTop="1" thickBot="1" x14ac:dyDescent="0.25">
      <c r="A41" s="181" t="s">
        <v>65</v>
      </c>
      <c r="B41" s="237" t="s">
        <v>37</v>
      </c>
      <c r="C41" s="238" t="s">
        <v>71</v>
      </c>
      <c r="D41" s="237" t="s">
        <v>37</v>
      </c>
      <c r="E41" s="238" t="s">
        <v>71</v>
      </c>
      <c r="F41" s="237" t="s">
        <v>37</v>
      </c>
      <c r="G41" s="238" t="s">
        <v>71</v>
      </c>
      <c r="H41" s="237" t="s">
        <v>37</v>
      </c>
      <c r="I41" s="238" t="s">
        <v>71</v>
      </c>
      <c r="J41" s="237" t="s">
        <v>37</v>
      </c>
      <c r="K41" s="238" t="s">
        <v>71</v>
      </c>
      <c r="L41" s="237" t="s">
        <v>37</v>
      </c>
      <c r="M41" s="238" t="s">
        <v>71</v>
      </c>
      <c r="N41" s="237" t="s">
        <v>37</v>
      </c>
      <c r="O41" s="238" t="s">
        <v>71</v>
      </c>
      <c r="P41" s="237" t="s">
        <v>37</v>
      </c>
      <c r="Q41" s="238" t="s">
        <v>71</v>
      </c>
      <c r="R41" s="237" t="s">
        <v>37</v>
      </c>
      <c r="S41" s="238" t="s">
        <v>71</v>
      </c>
      <c r="T41" s="237" t="s">
        <v>37</v>
      </c>
      <c r="U41" s="239" t="s">
        <v>71</v>
      </c>
      <c r="V41" s="240"/>
      <c r="W41" s="241" t="s">
        <v>37</v>
      </c>
      <c r="X41" s="242" t="s">
        <v>71</v>
      </c>
    </row>
    <row r="42" spans="1:27" ht="15" customHeight="1" x14ac:dyDescent="0.2">
      <c r="A42" s="243" t="s">
        <v>136</v>
      </c>
      <c r="B42" s="244"/>
      <c r="C42" s="245"/>
      <c r="D42" s="244"/>
      <c r="E42" s="245"/>
      <c r="F42" s="791"/>
      <c r="G42" s="871"/>
      <c r="H42" s="244">
        <v>14</v>
      </c>
      <c r="I42" s="245">
        <f>H42/SUM(H16)</f>
        <v>0.35</v>
      </c>
      <c r="J42" s="244">
        <v>13</v>
      </c>
      <c r="K42" s="245">
        <f>J42/SUM(J16)</f>
        <v>0.44827586206896552</v>
      </c>
      <c r="L42" s="244">
        <v>11</v>
      </c>
      <c r="M42" s="245">
        <f>L42/SUM(L16)</f>
        <v>0.5</v>
      </c>
      <c r="N42" s="244">
        <v>7</v>
      </c>
      <c r="O42" s="245">
        <f>N42/SUM(N16)</f>
        <v>0.31818181818181818</v>
      </c>
      <c r="P42" s="244">
        <v>9</v>
      </c>
      <c r="Q42" s="245">
        <f>P42/SUM(P16)</f>
        <v>0.36</v>
      </c>
      <c r="R42" s="244">
        <v>15</v>
      </c>
      <c r="S42" s="245">
        <f>R42/SUM(R16)</f>
        <v>0.51724137931034486</v>
      </c>
      <c r="T42" s="244"/>
      <c r="U42" s="418">
        <f>T42/SUM(T16)</f>
        <v>0</v>
      </c>
      <c r="V42" s="231"/>
      <c r="W42" s="246">
        <f>AVERAGE(N42,L42,R42,T42,P42)</f>
        <v>10.5</v>
      </c>
      <c r="X42" s="247">
        <f t="shared" ref="W42:X45" si="6">AVERAGE(O42,M42,S42,U42,Q42)</f>
        <v>0.33908463949843259</v>
      </c>
    </row>
    <row r="43" spans="1:27" ht="15" customHeight="1" x14ac:dyDescent="0.2">
      <c r="A43" s="186" t="s">
        <v>137</v>
      </c>
      <c r="B43" s="412"/>
      <c r="C43" s="413"/>
      <c r="D43" s="412"/>
      <c r="E43" s="413"/>
      <c r="F43" s="867"/>
      <c r="G43" s="868"/>
      <c r="H43" s="412">
        <v>1</v>
      </c>
      <c r="I43" s="413">
        <f>H43/SUM(H21)</f>
        <v>0.2</v>
      </c>
      <c r="J43" s="412">
        <v>1</v>
      </c>
      <c r="K43" s="413">
        <f>J43/SUM(J21)</f>
        <v>0.25</v>
      </c>
      <c r="L43" s="412">
        <v>1</v>
      </c>
      <c r="M43" s="413">
        <f>L43/SUM(L21)</f>
        <v>0.5</v>
      </c>
      <c r="N43" s="412">
        <v>2</v>
      </c>
      <c r="O43" s="413">
        <f>N43/SUM(N21)</f>
        <v>1</v>
      </c>
      <c r="P43" s="412">
        <v>4</v>
      </c>
      <c r="Q43" s="413">
        <f>P43/SUM(P21)</f>
        <v>0.5714285714285714</v>
      </c>
      <c r="R43" s="412">
        <v>3</v>
      </c>
      <c r="S43" s="413">
        <f>R43/SUM(R21)</f>
        <v>0.5</v>
      </c>
      <c r="T43" s="412"/>
      <c r="U43" s="259">
        <f>T43/SUM(T21)</f>
        <v>0</v>
      </c>
      <c r="V43" s="231"/>
      <c r="W43" s="246">
        <f t="shared" si="6"/>
        <v>2.5</v>
      </c>
      <c r="X43" s="247">
        <f t="shared" si="6"/>
        <v>0.51428571428571423</v>
      </c>
    </row>
    <row r="44" spans="1:27" ht="15" customHeight="1" x14ac:dyDescent="0.2">
      <c r="A44" s="194" t="s">
        <v>138</v>
      </c>
      <c r="B44" s="419"/>
      <c r="C44" s="420"/>
      <c r="D44" s="419"/>
      <c r="E44" s="420"/>
      <c r="F44" s="873"/>
      <c r="G44" s="874"/>
      <c r="H44" s="412">
        <v>18</v>
      </c>
      <c r="I44" s="413">
        <f>H44/SUM(H17)</f>
        <v>0.78260869565217395</v>
      </c>
      <c r="J44" s="412">
        <v>15</v>
      </c>
      <c r="K44" s="413">
        <f>J44/SUM(J17)</f>
        <v>0.7142857142857143</v>
      </c>
      <c r="L44" s="412">
        <v>15</v>
      </c>
      <c r="M44" s="413">
        <f>L44/SUM(L17)</f>
        <v>0.78947368421052633</v>
      </c>
      <c r="N44" s="412">
        <v>17</v>
      </c>
      <c r="O44" s="413">
        <f>N44/SUM(N17)</f>
        <v>0.89473684210526316</v>
      </c>
      <c r="P44" s="412">
        <v>15</v>
      </c>
      <c r="Q44" s="413">
        <f>P44/SUM(P17)</f>
        <v>0.7142857142857143</v>
      </c>
      <c r="R44" s="412">
        <v>14</v>
      </c>
      <c r="S44" s="413">
        <f>R44/SUM(R17)</f>
        <v>0.7</v>
      </c>
      <c r="T44" s="412"/>
      <c r="U44" s="259">
        <f>T44/SUM(T17)</f>
        <v>0</v>
      </c>
      <c r="V44" s="231"/>
      <c r="W44" s="246">
        <f t="shared" si="6"/>
        <v>15.25</v>
      </c>
      <c r="X44" s="247">
        <f t="shared" si="6"/>
        <v>0.61969924812030075</v>
      </c>
    </row>
    <row r="45" spans="1:27" ht="15" customHeight="1" thickBot="1" x14ac:dyDescent="0.25">
      <c r="A45" s="248" t="s">
        <v>139</v>
      </c>
      <c r="B45" s="249"/>
      <c r="C45" s="250"/>
      <c r="D45" s="249"/>
      <c r="E45" s="250"/>
      <c r="F45" s="792"/>
      <c r="G45" s="872"/>
      <c r="H45" s="249">
        <v>9</v>
      </c>
      <c r="I45" s="250">
        <f>H45/SUM(H22)</f>
        <v>0.75</v>
      </c>
      <c r="J45" s="249">
        <v>9</v>
      </c>
      <c r="K45" s="250">
        <f>J45/SUM(J22)</f>
        <v>0.81818181818181823</v>
      </c>
      <c r="L45" s="249">
        <v>8</v>
      </c>
      <c r="M45" s="250">
        <f>L45/SUM(L22)</f>
        <v>0.88888888888888884</v>
      </c>
      <c r="N45" s="249">
        <v>8</v>
      </c>
      <c r="O45" s="250">
        <f>N45/SUM(N22)</f>
        <v>1</v>
      </c>
      <c r="P45" s="249">
        <v>10</v>
      </c>
      <c r="Q45" s="250">
        <f>P45/SUM(P22)</f>
        <v>1</v>
      </c>
      <c r="R45" s="249">
        <v>11</v>
      </c>
      <c r="S45" s="250">
        <f>R45/SUM(R22)</f>
        <v>1</v>
      </c>
      <c r="T45" s="249"/>
      <c r="U45" s="251">
        <f>T45/SUM(T22)</f>
        <v>0</v>
      </c>
      <c r="V45" s="231"/>
      <c r="W45" s="252">
        <f t="shared" si="6"/>
        <v>9.25</v>
      </c>
      <c r="X45" s="253">
        <f t="shared" si="6"/>
        <v>0.77777777777777779</v>
      </c>
    </row>
    <row r="46" spans="1:27" ht="15" customHeight="1" thickTop="1" x14ac:dyDescent="0.2">
      <c r="A46" s="27" t="s">
        <v>175</v>
      </c>
      <c r="B46" s="28"/>
      <c r="C46" s="29"/>
      <c r="D46" s="28"/>
      <c r="E46" s="29"/>
      <c r="F46" s="28"/>
      <c r="G46" s="29"/>
      <c r="H46" s="28"/>
      <c r="I46" s="29"/>
      <c r="J46" s="28"/>
      <c r="K46" s="29"/>
      <c r="L46" s="28"/>
      <c r="M46" s="29"/>
      <c r="N46" s="28"/>
      <c r="O46" s="29"/>
      <c r="P46" s="28"/>
      <c r="Q46" s="29"/>
      <c r="R46" s="28"/>
      <c r="S46" s="29"/>
      <c r="T46" s="28"/>
      <c r="U46" s="29"/>
      <c r="V46" s="66"/>
      <c r="W46" s="30"/>
      <c r="X46" s="31"/>
    </row>
    <row r="47" spans="1:27" s="1" customFormat="1" ht="15" customHeight="1" thickBot="1" x14ac:dyDescent="0.25">
      <c r="A47" s="310"/>
      <c r="B47" s="311"/>
      <c r="C47" s="429"/>
      <c r="D47" s="311"/>
      <c r="E47" s="429"/>
      <c r="F47" s="311"/>
      <c r="G47" s="429"/>
      <c r="H47" s="311"/>
      <c r="I47" s="429"/>
      <c r="J47" s="311"/>
      <c r="K47" s="429"/>
      <c r="L47" s="311"/>
      <c r="M47" s="429"/>
      <c r="N47" s="311"/>
      <c r="O47" s="429"/>
      <c r="P47" s="311"/>
      <c r="Q47" s="429"/>
      <c r="R47" s="311"/>
      <c r="S47" s="429"/>
      <c r="T47" s="311"/>
      <c r="U47" s="429"/>
      <c r="V47" s="182"/>
      <c r="W47" s="182"/>
      <c r="X47" s="430"/>
    </row>
    <row r="48" spans="1:27" s="1" customFormat="1" ht="18.75" customHeight="1" thickTop="1" thickBot="1" x14ac:dyDescent="0.25">
      <c r="A48" s="214" t="s">
        <v>161</v>
      </c>
      <c r="B48" s="955" t="s">
        <v>28</v>
      </c>
      <c r="C48" s="966"/>
      <c r="D48" s="955" t="s">
        <v>29</v>
      </c>
      <c r="E48" s="956"/>
      <c r="F48" s="955" t="s">
        <v>30</v>
      </c>
      <c r="G48" s="956"/>
      <c r="H48" s="955" t="s">
        <v>31</v>
      </c>
      <c r="I48" s="956"/>
      <c r="J48" s="955" t="s">
        <v>32</v>
      </c>
      <c r="K48" s="956"/>
      <c r="L48" s="955" t="s">
        <v>33</v>
      </c>
      <c r="M48" s="956"/>
      <c r="N48" s="955" t="s">
        <v>34</v>
      </c>
      <c r="O48" s="956"/>
      <c r="P48" s="955" t="s">
        <v>35</v>
      </c>
      <c r="Q48" s="956"/>
      <c r="R48" s="955" t="s">
        <v>36</v>
      </c>
      <c r="S48" s="956"/>
      <c r="T48" s="955" t="s">
        <v>187</v>
      </c>
      <c r="U48" s="963"/>
      <c r="V48" s="182"/>
      <c r="W48" s="961" t="s">
        <v>9</v>
      </c>
      <c r="X48" s="962"/>
      <c r="Z48" s="1" t="s">
        <v>19</v>
      </c>
    </row>
    <row r="49" spans="1:24" s="1" customFormat="1" ht="24" x14ac:dyDescent="0.2">
      <c r="A49" s="504" t="s">
        <v>167</v>
      </c>
      <c r="B49" s="505"/>
      <c r="C49" s="506"/>
      <c r="D49" s="505"/>
      <c r="E49" s="507"/>
      <c r="F49" s="505"/>
      <c r="G49" s="507"/>
      <c r="H49" s="505"/>
      <c r="I49" s="507"/>
      <c r="J49" s="505"/>
      <c r="K49" s="507"/>
      <c r="L49" s="505"/>
      <c r="M49" s="507"/>
      <c r="N49" s="505"/>
      <c r="O49" s="507"/>
      <c r="P49" s="505"/>
      <c r="Q49" s="507"/>
      <c r="R49" s="505"/>
      <c r="S49" s="507"/>
      <c r="T49" s="505"/>
      <c r="U49" s="508"/>
      <c r="V49" s="509"/>
      <c r="W49" s="812"/>
      <c r="X49" s="813"/>
    </row>
    <row r="50" spans="1:24" s="1" customFormat="1" ht="24" x14ac:dyDescent="0.2">
      <c r="A50" s="534" t="s">
        <v>140</v>
      </c>
      <c r="B50" s="225"/>
      <c r="C50" s="421">
        <v>18</v>
      </c>
      <c r="D50" s="225"/>
      <c r="E50" s="421">
        <v>18</v>
      </c>
      <c r="F50" s="225"/>
      <c r="G50" s="421">
        <v>18</v>
      </c>
      <c r="H50" s="225"/>
      <c r="I50" s="421">
        <v>16</v>
      </c>
      <c r="J50" s="225"/>
      <c r="K50" s="421">
        <v>17</v>
      </c>
      <c r="L50" s="225"/>
      <c r="M50" s="421">
        <v>15</v>
      </c>
      <c r="N50" s="225"/>
      <c r="O50" s="421">
        <v>16</v>
      </c>
      <c r="P50" s="225"/>
      <c r="Q50" s="421">
        <v>17</v>
      </c>
      <c r="R50" s="225"/>
      <c r="S50" s="421">
        <v>18</v>
      </c>
      <c r="T50" s="422"/>
      <c r="U50" s="297"/>
      <c r="V50" s="182"/>
      <c r="W50" s="573"/>
      <c r="X50" s="297">
        <f>AVERAGE(O50,M50,S50,U50,Q50)</f>
        <v>16.5</v>
      </c>
    </row>
    <row r="51" spans="1:24" s="1" customFormat="1" ht="24" x14ac:dyDescent="0.2">
      <c r="A51" s="534" t="s">
        <v>142</v>
      </c>
      <c r="B51" s="422"/>
      <c r="C51" s="515">
        <v>18</v>
      </c>
      <c r="D51" s="422"/>
      <c r="E51" s="515">
        <v>18</v>
      </c>
      <c r="F51" s="422"/>
      <c r="G51" s="515">
        <v>17</v>
      </c>
      <c r="H51" s="422"/>
      <c r="I51" s="515">
        <v>15</v>
      </c>
      <c r="J51" s="422"/>
      <c r="K51" s="515">
        <v>16</v>
      </c>
      <c r="L51" s="422"/>
      <c r="M51" s="515">
        <v>15</v>
      </c>
      <c r="N51" s="422"/>
      <c r="O51" s="515">
        <v>15</v>
      </c>
      <c r="P51" s="422"/>
      <c r="Q51" s="515">
        <v>17</v>
      </c>
      <c r="R51" s="422"/>
      <c r="S51" s="515">
        <v>17</v>
      </c>
      <c r="T51" s="422"/>
      <c r="U51" s="297"/>
      <c r="V51" s="182"/>
      <c r="W51" s="574"/>
      <c r="X51" s="575">
        <f>AVERAGE(O51,M51,S51,U51,Q51)</f>
        <v>16</v>
      </c>
    </row>
    <row r="52" spans="1:24" s="1" customFormat="1" ht="15" customHeight="1" thickBot="1" x14ac:dyDescent="0.25">
      <c r="A52" s="581" t="s">
        <v>141</v>
      </c>
      <c r="B52" s="582"/>
      <c r="C52" s="583">
        <v>14.2</v>
      </c>
      <c r="D52" s="582"/>
      <c r="E52" s="583">
        <f>13+1.1</f>
        <v>14.1</v>
      </c>
      <c r="F52" s="582"/>
      <c r="G52" s="583">
        <v>13.15</v>
      </c>
      <c r="H52" s="582"/>
      <c r="I52" s="583">
        <v>13.67</v>
      </c>
      <c r="J52" s="582"/>
      <c r="K52" s="583">
        <f>12.3+1.22</f>
        <v>13.520000000000001</v>
      </c>
      <c r="L52" s="582"/>
      <c r="M52" s="583">
        <v>13.05</v>
      </c>
      <c r="N52" s="582"/>
      <c r="O52" s="583">
        <v>14.72</v>
      </c>
      <c r="P52" s="582"/>
      <c r="Q52" s="583">
        <v>15.5</v>
      </c>
      <c r="R52" s="582"/>
      <c r="S52" s="583">
        <f>13.69+2.03</f>
        <v>15.719999999999999</v>
      </c>
      <c r="T52" s="584"/>
      <c r="U52" s="423"/>
      <c r="V52" s="182"/>
      <c r="W52" s="814"/>
      <c r="X52" s="815">
        <f>AVERAGE(O52,M52,S52,U52,Q52)</f>
        <v>14.7475</v>
      </c>
    </row>
    <row r="53" spans="1:24" s="1" customFormat="1" ht="18" customHeight="1" thickBot="1" x14ac:dyDescent="0.25">
      <c r="A53" s="532" t="s">
        <v>172</v>
      </c>
      <c r="B53" s="587" t="s">
        <v>38</v>
      </c>
      <c r="C53" s="588" t="s">
        <v>39</v>
      </c>
      <c r="D53" s="589" t="s">
        <v>38</v>
      </c>
      <c r="E53" s="486" t="s">
        <v>39</v>
      </c>
      <c r="F53" s="589" t="s">
        <v>38</v>
      </c>
      <c r="G53" s="486" t="s">
        <v>39</v>
      </c>
      <c r="H53" s="589" t="s">
        <v>38</v>
      </c>
      <c r="I53" s="486" t="s">
        <v>39</v>
      </c>
      <c r="J53" s="589" t="s">
        <v>38</v>
      </c>
      <c r="K53" s="486" t="s">
        <v>39</v>
      </c>
      <c r="L53" s="589" t="s">
        <v>38</v>
      </c>
      <c r="M53" s="486" t="s">
        <v>39</v>
      </c>
      <c r="N53" s="589" t="s">
        <v>38</v>
      </c>
      <c r="O53" s="486" t="s">
        <v>39</v>
      </c>
      <c r="P53" s="589" t="s">
        <v>38</v>
      </c>
      <c r="Q53" s="486" t="s">
        <v>39</v>
      </c>
      <c r="R53" s="589" t="s">
        <v>38</v>
      </c>
      <c r="S53" s="486" t="s">
        <v>39</v>
      </c>
      <c r="T53" s="589" t="s">
        <v>38</v>
      </c>
      <c r="U53" s="487" t="s">
        <v>39</v>
      </c>
      <c r="V53" s="567"/>
      <c r="W53" s="590" t="s">
        <v>38</v>
      </c>
      <c r="X53" s="483" t="s">
        <v>188</v>
      </c>
    </row>
    <row r="54" spans="1:24" s="1" customFormat="1" ht="15" customHeight="1" x14ac:dyDescent="0.2">
      <c r="A54" s="489" t="s">
        <v>40</v>
      </c>
      <c r="B54" s="363"/>
      <c r="C54" s="168"/>
      <c r="D54" s="141"/>
      <c r="E54" s="585"/>
      <c r="F54" s="552"/>
      <c r="G54" s="585"/>
      <c r="H54" s="142"/>
      <c r="I54" s="585"/>
      <c r="J54" s="142"/>
      <c r="K54" s="585"/>
      <c r="L54" s="142"/>
      <c r="M54" s="585"/>
      <c r="N54" s="142"/>
      <c r="O54" s="585"/>
      <c r="P54" s="142"/>
      <c r="Q54" s="585"/>
      <c r="R54" s="142"/>
      <c r="S54" s="585"/>
      <c r="T54" s="142"/>
      <c r="U54" s="586"/>
      <c r="W54" s="566"/>
      <c r="X54" s="806"/>
    </row>
    <row r="55" spans="1:24" s="1" customFormat="1" ht="15" customHeight="1" x14ac:dyDescent="0.2">
      <c r="A55" s="464" t="s">
        <v>41</v>
      </c>
      <c r="B55" s="425"/>
      <c r="C55" s="35">
        <v>18</v>
      </c>
      <c r="D55" s="128"/>
      <c r="E55" s="147">
        <v>18</v>
      </c>
      <c r="F55" s="129"/>
      <c r="G55" s="147">
        <v>18</v>
      </c>
      <c r="H55" s="129"/>
      <c r="I55" s="147">
        <v>16</v>
      </c>
      <c r="J55" s="572">
        <v>18</v>
      </c>
      <c r="K55" s="147">
        <v>18</v>
      </c>
      <c r="L55" s="572">
        <v>16</v>
      </c>
      <c r="M55" s="147">
        <v>16</v>
      </c>
      <c r="N55" s="572">
        <v>17</v>
      </c>
      <c r="O55" s="147">
        <v>17</v>
      </c>
      <c r="P55" s="572">
        <v>19</v>
      </c>
      <c r="Q55" s="147">
        <v>19</v>
      </c>
      <c r="R55" s="572">
        <v>22</v>
      </c>
      <c r="S55" s="147">
        <v>22</v>
      </c>
      <c r="T55" s="572"/>
      <c r="U55" s="458"/>
      <c r="W55" s="807">
        <f>AVERAGE(N55,L55,R55,T55,P55)</f>
        <v>18.5</v>
      </c>
      <c r="X55" s="808">
        <f>AVERAGE(O55,M55,S55,U55,Q55)</f>
        <v>18.5</v>
      </c>
    </row>
    <row r="56" spans="1:24" s="1" customFormat="1" ht="15" customHeight="1" x14ac:dyDescent="0.2">
      <c r="A56" s="464" t="s">
        <v>42</v>
      </c>
      <c r="B56" s="425"/>
      <c r="C56" s="35">
        <v>1</v>
      </c>
      <c r="D56" s="128"/>
      <c r="E56" s="147">
        <v>1</v>
      </c>
      <c r="F56" s="129"/>
      <c r="G56" s="147">
        <v>0</v>
      </c>
      <c r="H56" s="129"/>
      <c r="I56" s="147">
        <v>0</v>
      </c>
      <c r="J56" s="13">
        <v>0.9</v>
      </c>
      <c r="K56" s="147">
        <v>1</v>
      </c>
      <c r="L56" s="661">
        <v>1</v>
      </c>
      <c r="M56" s="147">
        <v>2</v>
      </c>
      <c r="N56" s="661">
        <v>1</v>
      </c>
      <c r="O56" s="147">
        <v>2</v>
      </c>
      <c r="P56" s="13">
        <v>0.8</v>
      </c>
      <c r="Q56" s="147">
        <v>2</v>
      </c>
      <c r="R56" s="13">
        <v>0.3</v>
      </c>
      <c r="S56" s="147">
        <v>1</v>
      </c>
      <c r="T56" s="13"/>
      <c r="U56" s="458"/>
      <c r="W56" s="807">
        <f t="shared" ref="W56:X59" si="7">AVERAGE(N56,L56,R56,T56,P56)</f>
        <v>0.77499999999999991</v>
      </c>
      <c r="X56" s="808">
        <f t="shared" si="7"/>
        <v>1.75</v>
      </c>
    </row>
    <row r="57" spans="1:24" s="1" customFormat="1" ht="15" customHeight="1" x14ac:dyDescent="0.2">
      <c r="A57" s="466" t="s">
        <v>43</v>
      </c>
      <c r="B57" s="33"/>
      <c r="C57" s="40"/>
      <c r="D57" s="11"/>
      <c r="E57" s="455"/>
      <c r="F57" s="13"/>
      <c r="G57" s="455"/>
      <c r="H57" s="13"/>
      <c r="I57" s="455"/>
      <c r="J57" s="13"/>
      <c r="K57" s="455"/>
      <c r="L57" s="13"/>
      <c r="M57" s="455"/>
      <c r="N57" s="13"/>
      <c r="O57" s="455"/>
      <c r="P57" s="13"/>
      <c r="Q57" s="455"/>
      <c r="R57" s="13"/>
      <c r="S57" s="455"/>
      <c r="T57" s="13"/>
      <c r="U57" s="459"/>
      <c r="W57" s="807"/>
      <c r="X57" s="808"/>
    </row>
    <row r="58" spans="1:24" s="1" customFormat="1" ht="15" customHeight="1" x14ac:dyDescent="0.2">
      <c r="A58" s="464" t="s">
        <v>41</v>
      </c>
      <c r="B58" s="425"/>
      <c r="C58" s="40">
        <v>3</v>
      </c>
      <c r="D58" s="128"/>
      <c r="E58" s="455">
        <v>4</v>
      </c>
      <c r="F58" s="129"/>
      <c r="G58" s="455">
        <v>6</v>
      </c>
      <c r="H58" s="129"/>
      <c r="I58" s="455">
        <v>6</v>
      </c>
      <c r="J58" s="572">
        <v>4</v>
      </c>
      <c r="K58" s="455">
        <v>4</v>
      </c>
      <c r="L58" s="572">
        <v>6</v>
      </c>
      <c r="M58" s="455">
        <v>6</v>
      </c>
      <c r="N58" s="572">
        <v>6</v>
      </c>
      <c r="O58" s="455">
        <v>6</v>
      </c>
      <c r="P58" s="572">
        <v>6</v>
      </c>
      <c r="Q58" s="455">
        <v>6</v>
      </c>
      <c r="R58" s="572">
        <v>6</v>
      </c>
      <c r="S58" s="455">
        <v>6</v>
      </c>
      <c r="T58" s="572"/>
      <c r="U58" s="459"/>
      <c r="W58" s="807">
        <f t="shared" si="7"/>
        <v>6</v>
      </c>
      <c r="X58" s="808">
        <f t="shared" si="7"/>
        <v>6</v>
      </c>
    </row>
    <row r="59" spans="1:24" s="1" customFormat="1" ht="15" customHeight="1" thickBot="1" x14ac:dyDescent="0.25">
      <c r="A59" s="465" t="s">
        <v>42</v>
      </c>
      <c r="B59" s="427"/>
      <c r="C59" s="468">
        <v>0</v>
      </c>
      <c r="D59" s="469"/>
      <c r="E59" s="470">
        <v>0</v>
      </c>
      <c r="F59" s="656"/>
      <c r="G59" s="470">
        <v>0</v>
      </c>
      <c r="H59" s="656"/>
      <c r="I59" s="470">
        <v>0</v>
      </c>
      <c r="J59" s="591">
        <v>0</v>
      </c>
      <c r="K59" s="470">
        <v>0</v>
      </c>
      <c r="L59" s="591">
        <v>0</v>
      </c>
      <c r="M59" s="470">
        <v>0</v>
      </c>
      <c r="N59" s="591">
        <v>0</v>
      </c>
      <c r="O59" s="470">
        <v>0</v>
      </c>
      <c r="P59" s="591">
        <v>0</v>
      </c>
      <c r="Q59" s="470">
        <v>0</v>
      </c>
      <c r="R59" s="591">
        <v>0</v>
      </c>
      <c r="S59" s="470">
        <v>0</v>
      </c>
      <c r="T59" s="591"/>
      <c r="U59" s="472"/>
      <c r="W59" s="807">
        <f t="shared" si="7"/>
        <v>0</v>
      </c>
      <c r="X59" s="808">
        <f t="shared" si="7"/>
        <v>0</v>
      </c>
    </row>
    <row r="60" spans="1:24" s="1" customFormat="1" ht="15" customHeight="1" thickBot="1" x14ac:dyDescent="0.25">
      <c r="A60" s="473" t="s">
        <v>26</v>
      </c>
      <c r="B60" s="595"/>
      <c r="C60" s="596">
        <f>SUM(C55:C59)</f>
        <v>22</v>
      </c>
      <c r="D60" s="475"/>
      <c r="E60" s="478">
        <f>SUM(E55:E59)</f>
        <v>23</v>
      </c>
      <c r="F60" s="597"/>
      <c r="G60" s="478">
        <f>SUM(G55:G59)</f>
        <v>24</v>
      </c>
      <c r="H60" s="597"/>
      <c r="I60" s="478">
        <f>SUM(I55:I59)</f>
        <v>22</v>
      </c>
      <c r="J60" s="598">
        <f t="shared" ref="J60:S60" si="8">SUM(J55:J59)</f>
        <v>22.9</v>
      </c>
      <c r="K60" s="478">
        <f t="shared" si="8"/>
        <v>23</v>
      </c>
      <c r="L60" s="598">
        <f t="shared" si="8"/>
        <v>23</v>
      </c>
      <c r="M60" s="478">
        <f t="shared" si="8"/>
        <v>24</v>
      </c>
      <c r="N60" s="598">
        <f t="shared" si="8"/>
        <v>24</v>
      </c>
      <c r="O60" s="478">
        <f t="shared" si="8"/>
        <v>25</v>
      </c>
      <c r="P60" s="598">
        <f t="shared" si="8"/>
        <v>25.8</v>
      </c>
      <c r="Q60" s="478">
        <f t="shared" si="8"/>
        <v>27</v>
      </c>
      <c r="R60" s="598">
        <f t="shared" si="8"/>
        <v>28.3</v>
      </c>
      <c r="S60" s="478">
        <f t="shared" si="8"/>
        <v>29</v>
      </c>
      <c r="T60" s="598">
        <f t="shared" ref="T60:U60" si="9">SUM(T55:T59)</f>
        <v>0</v>
      </c>
      <c r="U60" s="479">
        <f t="shared" si="9"/>
        <v>0</v>
      </c>
      <c r="W60" s="809">
        <f>AVERAGE(N60,L60,R60,T60,P60)</f>
        <v>20.22</v>
      </c>
      <c r="X60" s="810">
        <f>AVERAGE(O60,M60,S60,U60,Q60)</f>
        <v>21</v>
      </c>
    </row>
    <row r="61" spans="1:24" s="1" customFormat="1" ht="18" customHeight="1" thickBot="1" x14ac:dyDescent="0.25">
      <c r="A61" s="532" t="s">
        <v>171</v>
      </c>
      <c r="B61" s="539" t="s">
        <v>37</v>
      </c>
      <c r="C61" s="540" t="s">
        <v>44</v>
      </c>
      <c r="D61" s="539" t="s">
        <v>37</v>
      </c>
      <c r="E61" s="541" t="s">
        <v>44</v>
      </c>
      <c r="F61" s="542" t="s">
        <v>37</v>
      </c>
      <c r="G61" s="541" t="s">
        <v>44</v>
      </c>
      <c r="H61" s="542" t="s">
        <v>37</v>
      </c>
      <c r="I61" s="541" t="s">
        <v>44</v>
      </c>
      <c r="J61" s="542" t="s">
        <v>37</v>
      </c>
      <c r="K61" s="541" t="s">
        <v>44</v>
      </c>
      <c r="L61" s="542" t="s">
        <v>37</v>
      </c>
      <c r="M61" s="541" t="s">
        <v>44</v>
      </c>
      <c r="N61" s="542" t="s">
        <v>37</v>
      </c>
      <c r="O61" s="541" t="s">
        <v>44</v>
      </c>
      <c r="P61" s="542" t="s">
        <v>37</v>
      </c>
      <c r="Q61" s="541" t="s">
        <v>44</v>
      </c>
      <c r="R61" s="542" t="s">
        <v>37</v>
      </c>
      <c r="S61" s="541" t="s">
        <v>44</v>
      </c>
      <c r="T61" s="542" t="s">
        <v>37</v>
      </c>
      <c r="U61" s="543" t="s">
        <v>44</v>
      </c>
      <c r="V61" s="182"/>
      <c r="W61" s="482" t="s">
        <v>37</v>
      </c>
      <c r="X61" s="543" t="s">
        <v>44</v>
      </c>
    </row>
    <row r="62" spans="1:24" s="1" customFormat="1" ht="18" customHeight="1" x14ac:dyDescent="0.2">
      <c r="A62" s="530" t="s">
        <v>164</v>
      </c>
      <c r="B62" s="528"/>
      <c r="C62" s="183"/>
      <c r="D62" s="528"/>
      <c r="E62" s="184"/>
      <c r="F62" s="529"/>
      <c r="G62" s="184"/>
      <c r="H62" s="529"/>
      <c r="I62" s="184"/>
      <c r="J62" s="529"/>
      <c r="K62" s="184"/>
      <c r="L62" s="529"/>
      <c r="M62" s="184"/>
      <c r="N62" s="529"/>
      <c r="O62" s="184"/>
      <c r="P62" s="529"/>
      <c r="Q62" s="184"/>
      <c r="R62" s="529"/>
      <c r="S62" s="184"/>
      <c r="T62" s="529"/>
      <c r="U62" s="185"/>
      <c r="V62" s="182"/>
      <c r="W62" s="480"/>
      <c r="X62" s="602"/>
    </row>
    <row r="63" spans="1:24" s="1" customFormat="1" ht="15" customHeight="1" x14ac:dyDescent="0.2">
      <c r="A63" s="186" t="s">
        <v>45</v>
      </c>
      <c r="B63" s="187">
        <v>15</v>
      </c>
      <c r="C63" s="188">
        <f t="shared" ref="C63:C70" si="10">B63/C$60</f>
        <v>0.68181818181818177</v>
      </c>
      <c r="D63" s="187">
        <v>14</v>
      </c>
      <c r="E63" s="189">
        <f t="shared" ref="E63:K70" si="11">D63/E$60</f>
        <v>0.60869565217391308</v>
      </c>
      <c r="F63" s="190">
        <v>16</v>
      </c>
      <c r="G63" s="189">
        <f t="shared" si="11"/>
        <v>0.66666666666666663</v>
      </c>
      <c r="H63" s="190">
        <v>15</v>
      </c>
      <c r="I63" s="189">
        <f t="shared" ref="I63:I70" si="12">H63/I$60</f>
        <v>0.68181818181818177</v>
      </c>
      <c r="J63" s="190">
        <f>1+17</f>
        <v>18</v>
      </c>
      <c r="K63" s="189">
        <f t="shared" si="11"/>
        <v>0.78260869565217395</v>
      </c>
      <c r="L63" s="190">
        <v>19</v>
      </c>
      <c r="M63" s="189">
        <f t="shared" ref="M63:M68" si="13">L63/M$60</f>
        <v>0.79166666666666663</v>
      </c>
      <c r="N63" s="190">
        <v>20</v>
      </c>
      <c r="O63" s="189">
        <f t="shared" ref="O63:Q68" si="14">N63/O$60</f>
        <v>0.8</v>
      </c>
      <c r="P63" s="190">
        <v>22</v>
      </c>
      <c r="Q63" s="189">
        <f t="shared" si="14"/>
        <v>0.81481481481481477</v>
      </c>
      <c r="R63" s="190">
        <v>22</v>
      </c>
      <c r="S63" s="189">
        <f t="shared" ref="S63:S68" si="15">R63/S$60</f>
        <v>0.75862068965517238</v>
      </c>
      <c r="T63" s="190"/>
      <c r="U63" s="191" t="e">
        <f t="shared" ref="U63:U68" si="16">T63/U$60</f>
        <v>#DIV/0!</v>
      </c>
      <c r="V63" s="192"/>
      <c r="W63" s="807">
        <f t="shared" ref="W63:W82" si="17">AVERAGE(N63,L63,R63,T63,P63)</f>
        <v>20.75</v>
      </c>
      <c r="X63" s="193" t="e">
        <f>AVERAGE(O63,M63,U63,S63,Q63)</f>
        <v>#DIV/0!</v>
      </c>
    </row>
    <row r="64" spans="1:24" s="1" customFormat="1" ht="15" customHeight="1" x14ac:dyDescent="0.2">
      <c r="A64" s="194" t="s">
        <v>46</v>
      </c>
      <c r="B64" s="187">
        <v>0</v>
      </c>
      <c r="C64" s="188">
        <f t="shared" si="10"/>
        <v>0</v>
      </c>
      <c r="D64" s="187">
        <v>0</v>
      </c>
      <c r="E64" s="189">
        <f t="shared" si="11"/>
        <v>0</v>
      </c>
      <c r="F64" s="190">
        <v>0</v>
      </c>
      <c r="G64" s="189">
        <f t="shared" si="11"/>
        <v>0</v>
      </c>
      <c r="H64" s="190">
        <v>0</v>
      </c>
      <c r="I64" s="189">
        <f t="shared" si="12"/>
        <v>0</v>
      </c>
      <c r="J64" s="190">
        <f>0</f>
        <v>0</v>
      </c>
      <c r="K64" s="189">
        <f t="shared" si="11"/>
        <v>0</v>
      </c>
      <c r="L64" s="190">
        <v>0</v>
      </c>
      <c r="M64" s="189">
        <f t="shared" si="13"/>
        <v>0</v>
      </c>
      <c r="N64" s="190">
        <v>0</v>
      </c>
      <c r="O64" s="189">
        <f t="shared" si="14"/>
        <v>0</v>
      </c>
      <c r="P64" s="190">
        <v>0</v>
      </c>
      <c r="Q64" s="189">
        <f t="shared" si="14"/>
        <v>0</v>
      </c>
      <c r="R64" s="190">
        <v>0</v>
      </c>
      <c r="S64" s="189">
        <f t="shared" si="15"/>
        <v>0</v>
      </c>
      <c r="T64" s="190"/>
      <c r="U64" s="191" t="e">
        <f t="shared" si="16"/>
        <v>#DIV/0!</v>
      </c>
      <c r="V64" s="192"/>
      <c r="W64" s="807">
        <f t="shared" si="17"/>
        <v>0</v>
      </c>
      <c r="X64" s="193" t="e">
        <f t="shared" ref="X64:X82" si="18">AVERAGE(O64,M64,U64,S64,Q64)</f>
        <v>#DIV/0!</v>
      </c>
    </row>
    <row r="65" spans="1:24" s="1" customFormat="1" ht="15" customHeight="1" x14ac:dyDescent="0.2">
      <c r="A65" s="194" t="s">
        <v>47</v>
      </c>
      <c r="B65" s="187">
        <v>0</v>
      </c>
      <c r="C65" s="188">
        <f t="shared" si="10"/>
        <v>0</v>
      </c>
      <c r="D65" s="187">
        <v>0</v>
      </c>
      <c r="E65" s="189">
        <f t="shared" si="11"/>
        <v>0</v>
      </c>
      <c r="F65" s="190">
        <v>0</v>
      </c>
      <c r="G65" s="189">
        <f t="shared" si="11"/>
        <v>0</v>
      </c>
      <c r="H65" s="190">
        <v>0</v>
      </c>
      <c r="I65" s="189">
        <f t="shared" si="12"/>
        <v>0</v>
      </c>
      <c r="J65" s="190">
        <f>0</f>
        <v>0</v>
      </c>
      <c r="K65" s="189">
        <f t="shared" si="11"/>
        <v>0</v>
      </c>
      <c r="L65" s="190">
        <v>0</v>
      </c>
      <c r="M65" s="189">
        <f t="shared" si="13"/>
        <v>0</v>
      </c>
      <c r="N65" s="190">
        <v>0</v>
      </c>
      <c r="O65" s="189">
        <f t="shared" si="14"/>
        <v>0</v>
      </c>
      <c r="P65" s="190">
        <v>0</v>
      </c>
      <c r="Q65" s="189">
        <f t="shared" si="14"/>
        <v>0</v>
      </c>
      <c r="R65" s="190">
        <v>0</v>
      </c>
      <c r="S65" s="189">
        <f t="shared" si="15"/>
        <v>0</v>
      </c>
      <c r="T65" s="190"/>
      <c r="U65" s="191" t="e">
        <f t="shared" si="16"/>
        <v>#DIV/0!</v>
      </c>
      <c r="V65" s="192"/>
      <c r="W65" s="807">
        <f t="shared" si="17"/>
        <v>0</v>
      </c>
      <c r="X65" s="193" t="e">
        <f t="shared" si="18"/>
        <v>#DIV/0!</v>
      </c>
    </row>
    <row r="66" spans="1:24" s="1" customFormat="1" ht="15" customHeight="1" x14ac:dyDescent="0.2">
      <c r="A66" s="194" t="s">
        <v>48</v>
      </c>
      <c r="B66" s="187">
        <v>0</v>
      </c>
      <c r="C66" s="188">
        <f t="shared" si="10"/>
        <v>0</v>
      </c>
      <c r="D66" s="187">
        <v>0</v>
      </c>
      <c r="E66" s="189">
        <f t="shared" si="11"/>
        <v>0</v>
      </c>
      <c r="F66" s="190">
        <v>0</v>
      </c>
      <c r="G66" s="189">
        <f t="shared" si="11"/>
        <v>0</v>
      </c>
      <c r="H66" s="190">
        <v>0</v>
      </c>
      <c r="I66" s="189">
        <f t="shared" si="12"/>
        <v>0</v>
      </c>
      <c r="J66" s="190">
        <f>0</f>
        <v>0</v>
      </c>
      <c r="K66" s="189">
        <f t="shared" si="11"/>
        <v>0</v>
      </c>
      <c r="L66" s="190">
        <v>0</v>
      </c>
      <c r="M66" s="189">
        <f t="shared" si="13"/>
        <v>0</v>
      </c>
      <c r="N66" s="190">
        <v>0</v>
      </c>
      <c r="O66" s="189">
        <f t="shared" si="14"/>
        <v>0</v>
      </c>
      <c r="P66" s="190">
        <v>0</v>
      </c>
      <c r="Q66" s="189">
        <f t="shared" si="14"/>
        <v>0</v>
      </c>
      <c r="R66" s="190">
        <v>0</v>
      </c>
      <c r="S66" s="189">
        <f t="shared" si="15"/>
        <v>0</v>
      </c>
      <c r="T66" s="190"/>
      <c r="U66" s="191" t="e">
        <f t="shared" si="16"/>
        <v>#DIV/0!</v>
      </c>
      <c r="V66" s="192"/>
      <c r="W66" s="807">
        <f t="shared" si="17"/>
        <v>0</v>
      </c>
      <c r="X66" s="193" t="e">
        <f t="shared" si="18"/>
        <v>#DIV/0!</v>
      </c>
    </row>
    <row r="67" spans="1:24" s="1" customFormat="1" ht="15" customHeight="1" x14ac:dyDescent="0.2">
      <c r="A67" s="194" t="s">
        <v>49</v>
      </c>
      <c r="B67" s="187">
        <v>7</v>
      </c>
      <c r="C67" s="188">
        <f t="shared" si="10"/>
        <v>0.31818181818181818</v>
      </c>
      <c r="D67" s="187">
        <v>7</v>
      </c>
      <c r="E67" s="189">
        <f t="shared" si="11"/>
        <v>0.30434782608695654</v>
      </c>
      <c r="F67" s="190">
        <v>6</v>
      </c>
      <c r="G67" s="189">
        <f t="shared" si="11"/>
        <v>0.25</v>
      </c>
      <c r="H67" s="190">
        <v>5</v>
      </c>
      <c r="I67" s="189">
        <f t="shared" si="12"/>
        <v>0.22727272727272727</v>
      </c>
      <c r="J67" s="190">
        <f>4</f>
        <v>4</v>
      </c>
      <c r="K67" s="189">
        <f t="shared" si="11"/>
        <v>0.17391304347826086</v>
      </c>
      <c r="L67" s="190">
        <v>5</v>
      </c>
      <c r="M67" s="189">
        <f t="shared" si="13"/>
        <v>0.20833333333333334</v>
      </c>
      <c r="N67" s="190">
        <v>5</v>
      </c>
      <c r="O67" s="189">
        <f t="shared" si="14"/>
        <v>0.2</v>
      </c>
      <c r="P67" s="190">
        <v>4</v>
      </c>
      <c r="Q67" s="189">
        <f t="shared" si="14"/>
        <v>0.14814814814814814</v>
      </c>
      <c r="R67" s="190">
        <v>6</v>
      </c>
      <c r="S67" s="189">
        <f t="shared" si="15"/>
        <v>0.20689655172413793</v>
      </c>
      <c r="T67" s="190"/>
      <c r="U67" s="191" t="e">
        <f t="shared" si="16"/>
        <v>#DIV/0!</v>
      </c>
      <c r="V67" s="192"/>
      <c r="W67" s="807">
        <f t="shared" si="17"/>
        <v>5</v>
      </c>
      <c r="X67" s="193" t="e">
        <f t="shared" si="18"/>
        <v>#DIV/0!</v>
      </c>
    </row>
    <row r="68" spans="1:24" s="1" customFormat="1" ht="15" customHeight="1" x14ac:dyDescent="0.2">
      <c r="A68" s="194" t="s">
        <v>50</v>
      </c>
      <c r="B68" s="187">
        <v>0</v>
      </c>
      <c r="C68" s="188">
        <f t="shared" si="10"/>
        <v>0</v>
      </c>
      <c r="D68" s="187">
        <v>2</v>
      </c>
      <c r="E68" s="189">
        <f t="shared" si="11"/>
        <v>8.6956521739130432E-2</v>
      </c>
      <c r="F68" s="190">
        <v>2</v>
      </c>
      <c r="G68" s="189">
        <f t="shared" si="11"/>
        <v>8.3333333333333329E-2</v>
      </c>
      <c r="H68" s="190">
        <v>2</v>
      </c>
      <c r="I68" s="189">
        <f t="shared" si="12"/>
        <v>9.0909090909090912E-2</v>
      </c>
      <c r="J68" s="190">
        <f>1</f>
        <v>1</v>
      </c>
      <c r="K68" s="189">
        <f t="shared" si="11"/>
        <v>4.3478260869565216E-2</v>
      </c>
      <c r="L68" s="190">
        <v>0</v>
      </c>
      <c r="M68" s="189">
        <f t="shared" si="13"/>
        <v>0</v>
      </c>
      <c r="N68" s="190">
        <v>0</v>
      </c>
      <c r="O68" s="189">
        <f t="shared" si="14"/>
        <v>0</v>
      </c>
      <c r="P68" s="190">
        <v>1</v>
      </c>
      <c r="Q68" s="189">
        <f t="shared" si="14"/>
        <v>3.7037037037037035E-2</v>
      </c>
      <c r="R68" s="190">
        <v>0</v>
      </c>
      <c r="S68" s="189">
        <f t="shared" si="15"/>
        <v>0</v>
      </c>
      <c r="T68" s="190"/>
      <c r="U68" s="191" t="e">
        <f t="shared" si="16"/>
        <v>#DIV/0!</v>
      </c>
      <c r="V68" s="192"/>
      <c r="W68" s="807">
        <f t="shared" si="17"/>
        <v>0.25</v>
      </c>
      <c r="X68" s="193" t="e">
        <f t="shared" si="18"/>
        <v>#DIV/0!</v>
      </c>
    </row>
    <row r="69" spans="1:24" s="1" customFormat="1" ht="15" customHeight="1" x14ac:dyDescent="0.2">
      <c r="A69" s="194" t="s">
        <v>51</v>
      </c>
      <c r="B69" s="195"/>
      <c r="C69" s="188"/>
      <c r="D69" s="195"/>
      <c r="E69" s="189"/>
      <c r="F69" s="196"/>
      <c r="G69" s="189"/>
      <c r="H69" s="196">
        <v>0</v>
      </c>
      <c r="I69" s="189">
        <f t="shared" si="12"/>
        <v>0</v>
      </c>
      <c r="J69" s="196">
        <f>0</f>
        <v>0</v>
      </c>
      <c r="K69" s="189">
        <f>J69/K$60</f>
        <v>0</v>
      </c>
      <c r="L69" s="196">
        <v>0</v>
      </c>
      <c r="M69" s="189">
        <f>L69/M$60</f>
        <v>0</v>
      </c>
      <c r="N69" s="196">
        <v>0</v>
      </c>
      <c r="O69" s="189">
        <f>N69/O$60</f>
        <v>0</v>
      </c>
      <c r="P69" s="196">
        <v>0</v>
      </c>
      <c r="Q69" s="189">
        <f>P69/Q$60</f>
        <v>0</v>
      </c>
      <c r="R69" s="196">
        <v>0</v>
      </c>
      <c r="S69" s="189">
        <f>R69/S$60</f>
        <v>0</v>
      </c>
      <c r="T69" s="190"/>
      <c r="U69" s="191" t="e">
        <f>T69/U$60</f>
        <v>#DIV/0!</v>
      </c>
      <c r="V69" s="192"/>
      <c r="W69" s="807">
        <f t="shared" si="17"/>
        <v>0</v>
      </c>
      <c r="X69" s="193" t="e">
        <f t="shared" si="18"/>
        <v>#DIV/0!</v>
      </c>
    </row>
    <row r="70" spans="1:24" s="1" customFormat="1" ht="15" customHeight="1" thickBot="1" x14ac:dyDescent="0.25">
      <c r="A70" s="194" t="s">
        <v>52</v>
      </c>
      <c r="B70" s="195">
        <v>0</v>
      </c>
      <c r="C70" s="627">
        <f t="shared" si="10"/>
        <v>0</v>
      </c>
      <c r="D70" s="195">
        <v>0</v>
      </c>
      <c r="E70" s="628">
        <f t="shared" si="11"/>
        <v>0</v>
      </c>
      <c r="F70" s="196">
        <v>0</v>
      </c>
      <c r="G70" s="628">
        <f t="shared" si="11"/>
        <v>0</v>
      </c>
      <c r="H70" s="196">
        <v>0</v>
      </c>
      <c r="I70" s="628">
        <f t="shared" si="12"/>
        <v>0</v>
      </c>
      <c r="J70" s="196">
        <f>0</f>
        <v>0</v>
      </c>
      <c r="K70" s="628">
        <f t="shared" si="11"/>
        <v>0</v>
      </c>
      <c r="L70" s="196">
        <v>0</v>
      </c>
      <c r="M70" s="628">
        <f>L70/M$60</f>
        <v>0</v>
      </c>
      <c r="N70" s="196">
        <v>0</v>
      </c>
      <c r="O70" s="628">
        <f>N70/O$60</f>
        <v>0</v>
      </c>
      <c r="P70" s="196">
        <v>0</v>
      </c>
      <c r="Q70" s="628">
        <f>P70/Q$60</f>
        <v>0</v>
      </c>
      <c r="R70" s="196">
        <v>1</v>
      </c>
      <c r="S70" s="628">
        <f>R70/S$60</f>
        <v>3.4482758620689655E-2</v>
      </c>
      <c r="T70" s="196"/>
      <c r="U70" s="629" t="e">
        <f>T70/U$60</f>
        <v>#DIV/0!</v>
      </c>
      <c r="V70" s="192"/>
      <c r="W70" s="807">
        <f t="shared" si="17"/>
        <v>0.25</v>
      </c>
      <c r="X70" s="193" t="e">
        <f t="shared" si="18"/>
        <v>#DIV/0!</v>
      </c>
    </row>
    <row r="71" spans="1:24" s="1" customFormat="1" ht="18" customHeight="1" x14ac:dyDescent="0.2">
      <c r="A71" s="603" t="s">
        <v>53</v>
      </c>
      <c r="B71" s="632"/>
      <c r="C71" s="633"/>
      <c r="D71" s="632"/>
      <c r="E71" s="634"/>
      <c r="F71" s="635"/>
      <c r="G71" s="634"/>
      <c r="H71" s="635"/>
      <c r="I71" s="634"/>
      <c r="J71" s="635"/>
      <c r="K71" s="634"/>
      <c r="L71" s="635"/>
      <c r="M71" s="634"/>
      <c r="N71" s="635"/>
      <c r="O71" s="634"/>
      <c r="P71" s="635"/>
      <c r="Q71" s="634"/>
      <c r="R71" s="635"/>
      <c r="S71" s="634"/>
      <c r="T71" s="635"/>
      <c r="U71" s="636"/>
      <c r="V71" s="192"/>
      <c r="W71" s="807"/>
      <c r="X71" s="193"/>
    </row>
    <row r="72" spans="1:24" s="1" customFormat="1" ht="15" customHeight="1" x14ac:dyDescent="0.2">
      <c r="A72" s="186" t="s">
        <v>54</v>
      </c>
      <c r="B72" s="202">
        <v>21</v>
      </c>
      <c r="C72" s="188">
        <f>B72/C$60</f>
        <v>0.95454545454545459</v>
      </c>
      <c r="D72" s="202">
        <v>22</v>
      </c>
      <c r="E72" s="189">
        <f>D72/E$60</f>
        <v>0.95652173913043481</v>
      </c>
      <c r="F72" s="93">
        <v>23</v>
      </c>
      <c r="G72" s="189">
        <f>F72/G$60</f>
        <v>0.95833333333333337</v>
      </c>
      <c r="H72" s="93">
        <v>21</v>
      </c>
      <c r="I72" s="189">
        <f>H72/I$60</f>
        <v>0.95454545454545459</v>
      </c>
      <c r="J72" s="93">
        <f>1+20</f>
        <v>21</v>
      </c>
      <c r="K72" s="189">
        <f>J72/K$60</f>
        <v>0.91304347826086951</v>
      </c>
      <c r="L72" s="93">
        <v>22</v>
      </c>
      <c r="M72" s="189">
        <f>L72/M$60</f>
        <v>0.91666666666666663</v>
      </c>
      <c r="N72" s="93">
        <v>22</v>
      </c>
      <c r="O72" s="189">
        <f>N72/O$60</f>
        <v>0.88</v>
      </c>
      <c r="P72" s="93">
        <v>23</v>
      </c>
      <c r="Q72" s="189">
        <f>P72/Q$60</f>
        <v>0.85185185185185186</v>
      </c>
      <c r="R72" s="93">
        <v>26</v>
      </c>
      <c r="S72" s="189">
        <f>R72/S$60</f>
        <v>0.89655172413793105</v>
      </c>
      <c r="T72" s="93"/>
      <c r="U72" s="191" t="e">
        <f>T72/U$60</f>
        <v>#DIV/0!</v>
      </c>
      <c r="V72" s="192"/>
      <c r="W72" s="807">
        <f t="shared" si="17"/>
        <v>23.25</v>
      </c>
      <c r="X72" s="193" t="e">
        <f t="shared" si="18"/>
        <v>#DIV/0!</v>
      </c>
    </row>
    <row r="73" spans="1:24" s="1" customFormat="1" ht="15" customHeight="1" thickBot="1" x14ac:dyDescent="0.25">
      <c r="A73" s="194" t="s">
        <v>55</v>
      </c>
      <c r="B73" s="630">
        <v>1</v>
      </c>
      <c r="C73" s="627">
        <f>B73/C$60</f>
        <v>4.5454545454545456E-2</v>
      </c>
      <c r="D73" s="630">
        <v>1</v>
      </c>
      <c r="E73" s="628">
        <f>D73/E$60</f>
        <v>4.3478260869565216E-2</v>
      </c>
      <c r="F73" s="631">
        <v>1</v>
      </c>
      <c r="G73" s="628">
        <f>F73/G$60</f>
        <v>4.1666666666666664E-2</v>
      </c>
      <c r="H73" s="631">
        <v>1</v>
      </c>
      <c r="I73" s="628">
        <f>H73/I$60</f>
        <v>4.5454545454545456E-2</v>
      </c>
      <c r="J73" s="631">
        <f>2</f>
        <v>2</v>
      </c>
      <c r="K73" s="628">
        <f>J73/K$60</f>
        <v>8.6956521739130432E-2</v>
      </c>
      <c r="L73" s="631">
        <v>2</v>
      </c>
      <c r="M73" s="628">
        <f>L73/M$60</f>
        <v>8.3333333333333329E-2</v>
      </c>
      <c r="N73" s="631">
        <v>3</v>
      </c>
      <c r="O73" s="628">
        <f>N73/O$60</f>
        <v>0.12</v>
      </c>
      <c r="P73" s="631">
        <v>4</v>
      </c>
      <c r="Q73" s="628">
        <f>P73/Q$60</f>
        <v>0.14814814814814814</v>
      </c>
      <c r="R73" s="631">
        <v>3</v>
      </c>
      <c r="S73" s="628">
        <f>R73/S$60</f>
        <v>0.10344827586206896</v>
      </c>
      <c r="T73" s="631"/>
      <c r="U73" s="629" t="e">
        <f>T73/U$60</f>
        <v>#DIV/0!</v>
      </c>
      <c r="V73" s="192"/>
      <c r="W73" s="807">
        <f t="shared" si="17"/>
        <v>3</v>
      </c>
      <c r="X73" s="193" t="e">
        <f t="shared" si="18"/>
        <v>#DIV/0!</v>
      </c>
    </row>
    <row r="74" spans="1:24" s="1" customFormat="1" ht="18" customHeight="1" x14ac:dyDescent="0.2">
      <c r="A74" s="603" t="s">
        <v>56</v>
      </c>
      <c r="B74" s="637"/>
      <c r="C74" s="638"/>
      <c r="D74" s="637"/>
      <c r="E74" s="639"/>
      <c r="F74" s="640"/>
      <c r="G74" s="639"/>
      <c r="H74" s="640"/>
      <c r="I74" s="639"/>
      <c r="J74" s="640"/>
      <c r="K74" s="639"/>
      <c r="L74" s="640"/>
      <c r="M74" s="639"/>
      <c r="N74" s="640"/>
      <c r="O74" s="639"/>
      <c r="P74" s="640"/>
      <c r="Q74" s="639"/>
      <c r="R74" s="640"/>
      <c r="S74" s="639"/>
      <c r="T74" s="640"/>
      <c r="U74" s="641"/>
      <c r="V74" s="192"/>
      <c r="W74" s="807"/>
      <c r="X74" s="193"/>
    </row>
    <row r="75" spans="1:24" s="1" customFormat="1" ht="15" customHeight="1" x14ac:dyDescent="0.2">
      <c r="A75" s="186" t="s">
        <v>57</v>
      </c>
      <c r="B75" s="203">
        <v>19</v>
      </c>
      <c r="C75" s="188">
        <f>B75/C$60</f>
        <v>0.86363636363636365</v>
      </c>
      <c r="D75" s="203">
        <v>20</v>
      </c>
      <c r="E75" s="189">
        <f>D75/E$60</f>
        <v>0.86956521739130432</v>
      </c>
      <c r="F75" s="204">
        <v>20</v>
      </c>
      <c r="G75" s="189">
        <f>F75/G$60</f>
        <v>0.83333333333333337</v>
      </c>
      <c r="H75" s="204">
        <v>18</v>
      </c>
      <c r="I75" s="189">
        <f>H75/I$60</f>
        <v>0.81818181818181823</v>
      </c>
      <c r="J75" s="204">
        <f>1+17</f>
        <v>18</v>
      </c>
      <c r="K75" s="189">
        <f>J75/K$60</f>
        <v>0.78260869565217395</v>
      </c>
      <c r="L75" s="204">
        <v>19</v>
      </c>
      <c r="M75" s="189">
        <f>L75/M$60</f>
        <v>0.79166666666666663</v>
      </c>
      <c r="N75" s="204">
        <v>19</v>
      </c>
      <c r="O75" s="189">
        <f>N75/O$60</f>
        <v>0.76</v>
      </c>
      <c r="P75" s="204">
        <v>17</v>
      </c>
      <c r="Q75" s="189">
        <f>P75/Q$60</f>
        <v>0.62962962962962965</v>
      </c>
      <c r="R75" s="204">
        <v>18</v>
      </c>
      <c r="S75" s="189">
        <f>R75/S$60</f>
        <v>0.62068965517241381</v>
      </c>
      <c r="T75" s="204"/>
      <c r="U75" s="191" t="e">
        <f>T75/U$60</f>
        <v>#DIV/0!</v>
      </c>
      <c r="V75" s="192"/>
      <c r="W75" s="807">
        <f t="shared" si="17"/>
        <v>18.25</v>
      </c>
      <c r="X75" s="193" t="e">
        <f t="shared" si="18"/>
        <v>#DIV/0!</v>
      </c>
    </row>
    <row r="76" spans="1:24" s="1" customFormat="1" ht="15" customHeight="1" x14ac:dyDescent="0.2">
      <c r="A76" s="186" t="s">
        <v>58</v>
      </c>
      <c r="B76" s="203">
        <v>2</v>
      </c>
      <c r="C76" s="188">
        <f>B76/C$60</f>
        <v>9.0909090909090912E-2</v>
      </c>
      <c r="D76" s="203">
        <v>2</v>
      </c>
      <c r="E76" s="189">
        <f>D76/E$60</f>
        <v>8.6956521739130432E-2</v>
      </c>
      <c r="F76" s="204">
        <v>3</v>
      </c>
      <c r="G76" s="189">
        <f>F76/G$60</f>
        <v>0.125</v>
      </c>
      <c r="H76" s="204">
        <v>3</v>
      </c>
      <c r="I76" s="189">
        <f>H76/I$60</f>
        <v>0.13636363636363635</v>
      </c>
      <c r="J76" s="204">
        <f>3</f>
        <v>3</v>
      </c>
      <c r="K76" s="189">
        <f>J76/K$60</f>
        <v>0.13043478260869565</v>
      </c>
      <c r="L76" s="204">
        <v>3</v>
      </c>
      <c r="M76" s="189">
        <f>L76/M$60</f>
        <v>0.125</v>
      </c>
      <c r="N76" s="204">
        <v>4</v>
      </c>
      <c r="O76" s="189">
        <f>N76/O$60</f>
        <v>0.16</v>
      </c>
      <c r="P76" s="204">
        <v>5</v>
      </c>
      <c r="Q76" s="189">
        <f>P76/Q$60</f>
        <v>0.18518518518518517</v>
      </c>
      <c r="R76" s="204">
        <v>6</v>
      </c>
      <c r="S76" s="189">
        <f>R76/S$60</f>
        <v>0.20689655172413793</v>
      </c>
      <c r="T76" s="204"/>
      <c r="U76" s="191" t="e">
        <f>T76/U$60</f>
        <v>#DIV/0!</v>
      </c>
      <c r="V76" s="192"/>
      <c r="W76" s="807">
        <f t="shared" si="17"/>
        <v>4.5</v>
      </c>
      <c r="X76" s="193" t="e">
        <f t="shared" si="18"/>
        <v>#DIV/0!</v>
      </c>
    </row>
    <row r="77" spans="1:24" s="1" customFormat="1" ht="15" customHeight="1" thickBot="1" x14ac:dyDescent="0.25">
      <c r="A77" s="194" t="s">
        <v>59</v>
      </c>
      <c r="B77" s="630">
        <v>1</v>
      </c>
      <c r="C77" s="627">
        <f>B77/C$60</f>
        <v>4.5454545454545456E-2</v>
      </c>
      <c r="D77" s="630">
        <v>1</v>
      </c>
      <c r="E77" s="628">
        <f>D77/E$60</f>
        <v>4.3478260869565216E-2</v>
      </c>
      <c r="F77" s="631">
        <v>1</v>
      </c>
      <c r="G77" s="628">
        <f>F77/G$60</f>
        <v>4.1666666666666664E-2</v>
      </c>
      <c r="H77" s="631">
        <v>1</v>
      </c>
      <c r="I77" s="628">
        <f>H77/I$60</f>
        <v>4.5454545454545456E-2</v>
      </c>
      <c r="J77" s="631">
        <f>2</f>
        <v>2</v>
      </c>
      <c r="K77" s="628">
        <f>J77/K$60</f>
        <v>8.6956521739130432E-2</v>
      </c>
      <c r="L77" s="631">
        <v>2</v>
      </c>
      <c r="M77" s="628">
        <f>L77/M$60</f>
        <v>8.3333333333333329E-2</v>
      </c>
      <c r="N77" s="631">
        <v>2</v>
      </c>
      <c r="O77" s="628">
        <f>N77/O$60</f>
        <v>0.08</v>
      </c>
      <c r="P77" s="631">
        <v>5</v>
      </c>
      <c r="Q77" s="628">
        <f>P77/Q$60</f>
        <v>0.18518518518518517</v>
      </c>
      <c r="R77" s="631">
        <v>5</v>
      </c>
      <c r="S77" s="628">
        <f>R77/S$60</f>
        <v>0.17241379310344829</v>
      </c>
      <c r="T77" s="631"/>
      <c r="U77" s="629" t="e">
        <f>T77/U$60</f>
        <v>#DIV/0!</v>
      </c>
      <c r="V77" s="192"/>
      <c r="W77" s="807">
        <f t="shared" si="17"/>
        <v>3.5</v>
      </c>
      <c r="X77" s="193" t="e">
        <f t="shared" si="18"/>
        <v>#DIV/0!</v>
      </c>
    </row>
    <row r="78" spans="1:24" s="1" customFormat="1" ht="18" customHeight="1" x14ac:dyDescent="0.2">
      <c r="A78" s="603" t="s">
        <v>60</v>
      </c>
      <c r="B78" s="637"/>
      <c r="C78" s="638"/>
      <c r="D78" s="637"/>
      <c r="E78" s="639"/>
      <c r="F78" s="640"/>
      <c r="G78" s="639"/>
      <c r="H78" s="640"/>
      <c r="I78" s="639"/>
      <c r="J78" s="640"/>
      <c r="K78" s="639"/>
      <c r="L78" s="640"/>
      <c r="M78" s="639"/>
      <c r="N78" s="640"/>
      <c r="O78" s="639"/>
      <c r="P78" s="640"/>
      <c r="Q78" s="639"/>
      <c r="R78" s="640"/>
      <c r="S78" s="639"/>
      <c r="T78" s="640"/>
      <c r="U78" s="641"/>
      <c r="V78" s="192"/>
      <c r="W78" s="807"/>
      <c r="X78" s="193"/>
    </row>
    <row r="79" spans="1:24" s="1" customFormat="1" ht="15" customHeight="1" x14ac:dyDescent="0.2">
      <c r="A79" s="186" t="s">
        <v>61</v>
      </c>
      <c r="B79" s="203">
        <v>21</v>
      </c>
      <c r="C79" s="188">
        <f>B79/C$60</f>
        <v>0.95454545454545459</v>
      </c>
      <c r="D79" s="203">
        <v>22</v>
      </c>
      <c r="E79" s="189">
        <f>D79/E$60</f>
        <v>0.95652173913043481</v>
      </c>
      <c r="F79" s="204">
        <v>23</v>
      </c>
      <c r="G79" s="189">
        <f>F79/G$60</f>
        <v>0.95833333333333337</v>
      </c>
      <c r="H79" s="204">
        <v>21</v>
      </c>
      <c r="I79" s="189">
        <f>H79/I$60</f>
        <v>0.95454545454545459</v>
      </c>
      <c r="J79" s="204">
        <f>1+21</f>
        <v>22</v>
      </c>
      <c r="K79" s="189">
        <f>J79/K$60</f>
        <v>0.95652173913043481</v>
      </c>
      <c r="L79" s="204">
        <v>23</v>
      </c>
      <c r="M79" s="189">
        <f>L79/M$60</f>
        <v>0.95833333333333337</v>
      </c>
      <c r="N79" s="204">
        <v>24</v>
      </c>
      <c r="O79" s="189">
        <f>N79/O$60</f>
        <v>0.96</v>
      </c>
      <c r="P79" s="204">
        <v>24</v>
      </c>
      <c r="Q79" s="189">
        <f>P79/Q$60</f>
        <v>0.88888888888888884</v>
      </c>
      <c r="R79" s="204">
        <v>27</v>
      </c>
      <c r="S79" s="189">
        <f>R79/S$60</f>
        <v>0.93103448275862066</v>
      </c>
      <c r="T79" s="204"/>
      <c r="U79" s="191" t="e">
        <f>T79/U$60</f>
        <v>#DIV/0!</v>
      </c>
      <c r="V79" s="192"/>
      <c r="W79" s="807">
        <f t="shared" si="17"/>
        <v>24.5</v>
      </c>
      <c r="X79" s="193" t="e">
        <f t="shared" si="18"/>
        <v>#DIV/0!</v>
      </c>
    </row>
    <row r="80" spans="1:24" s="1" customFormat="1" ht="15" customHeight="1" x14ac:dyDescent="0.2">
      <c r="A80" s="186" t="s">
        <v>62</v>
      </c>
      <c r="B80" s="203">
        <v>1</v>
      </c>
      <c r="C80" s="188">
        <f>B80/C$60</f>
        <v>4.5454545454545456E-2</v>
      </c>
      <c r="D80" s="203">
        <v>0</v>
      </c>
      <c r="E80" s="189">
        <f>D80/E$60</f>
        <v>0</v>
      </c>
      <c r="F80" s="204">
        <v>1</v>
      </c>
      <c r="G80" s="189">
        <f>F80/G$60</f>
        <v>4.1666666666666664E-2</v>
      </c>
      <c r="H80" s="204">
        <v>1</v>
      </c>
      <c r="I80" s="189">
        <f>H80/I$60</f>
        <v>4.5454545454545456E-2</v>
      </c>
      <c r="J80" s="204">
        <f>1</f>
        <v>1</v>
      </c>
      <c r="K80" s="189">
        <f>J80/K$60</f>
        <v>4.3478260869565216E-2</v>
      </c>
      <c r="L80" s="204">
        <v>1</v>
      </c>
      <c r="M80" s="189">
        <f>L80/M$60</f>
        <v>4.1666666666666664E-2</v>
      </c>
      <c r="N80" s="204">
        <v>1</v>
      </c>
      <c r="O80" s="189">
        <f>N80/O$60</f>
        <v>0.04</v>
      </c>
      <c r="P80" s="204">
        <v>2</v>
      </c>
      <c r="Q80" s="189">
        <f>P80/Q$60</f>
        <v>7.407407407407407E-2</v>
      </c>
      <c r="R80" s="204">
        <v>2</v>
      </c>
      <c r="S80" s="189">
        <f>R80/S$60</f>
        <v>6.8965517241379309E-2</v>
      </c>
      <c r="T80" s="204"/>
      <c r="U80" s="191" t="e">
        <f>T80/U$60</f>
        <v>#DIV/0!</v>
      </c>
      <c r="V80" s="192"/>
      <c r="W80" s="807">
        <f t="shared" si="17"/>
        <v>1.5</v>
      </c>
      <c r="X80" s="193" t="e">
        <f t="shared" si="18"/>
        <v>#DIV/0!</v>
      </c>
    </row>
    <row r="81" spans="1:24" s="1" customFormat="1" ht="15" customHeight="1" x14ac:dyDescent="0.2">
      <c r="A81" s="186" t="s">
        <v>63</v>
      </c>
      <c r="B81" s="203">
        <v>0</v>
      </c>
      <c r="C81" s="188">
        <f>B81/C$60</f>
        <v>0</v>
      </c>
      <c r="D81" s="203">
        <v>1</v>
      </c>
      <c r="E81" s="189">
        <f>D81/E$60</f>
        <v>4.3478260869565216E-2</v>
      </c>
      <c r="F81" s="204">
        <v>0</v>
      </c>
      <c r="G81" s="189">
        <f>F81/G$60</f>
        <v>0</v>
      </c>
      <c r="H81" s="204">
        <v>0</v>
      </c>
      <c r="I81" s="189">
        <f>H81/I$60</f>
        <v>0</v>
      </c>
      <c r="J81" s="204">
        <f>0</f>
        <v>0</v>
      </c>
      <c r="K81" s="189">
        <f>J81/K$60</f>
        <v>0</v>
      </c>
      <c r="L81" s="204">
        <v>0</v>
      </c>
      <c r="M81" s="189">
        <f>L81/M$60</f>
        <v>0</v>
      </c>
      <c r="N81" s="204">
        <v>0</v>
      </c>
      <c r="O81" s="189">
        <f>N81/O$60</f>
        <v>0</v>
      </c>
      <c r="P81" s="204">
        <v>1</v>
      </c>
      <c r="Q81" s="189">
        <f>P81/Q$60</f>
        <v>3.7037037037037035E-2</v>
      </c>
      <c r="R81" s="204">
        <v>0</v>
      </c>
      <c r="S81" s="189">
        <f>R81/S$60</f>
        <v>0</v>
      </c>
      <c r="T81" s="204"/>
      <c r="U81" s="191" t="e">
        <f>T81/U$60</f>
        <v>#DIV/0!</v>
      </c>
      <c r="V81" s="182"/>
      <c r="W81" s="807">
        <f t="shared" si="17"/>
        <v>0.25</v>
      </c>
      <c r="X81" s="193" t="e">
        <f t="shared" si="18"/>
        <v>#DIV/0!</v>
      </c>
    </row>
    <row r="82" spans="1:24" s="1" customFormat="1" ht="15" customHeight="1" thickBot="1" x14ac:dyDescent="0.25">
      <c r="A82" s="207" t="s">
        <v>64</v>
      </c>
      <c r="B82" s="208">
        <v>0</v>
      </c>
      <c r="C82" s="209">
        <f>B82/C$60</f>
        <v>0</v>
      </c>
      <c r="D82" s="208">
        <v>0</v>
      </c>
      <c r="E82" s="210">
        <f>D82/E$60</f>
        <v>0</v>
      </c>
      <c r="F82" s="211">
        <v>0</v>
      </c>
      <c r="G82" s="210">
        <f>F82/G$60</f>
        <v>0</v>
      </c>
      <c r="H82" s="211">
        <v>0</v>
      </c>
      <c r="I82" s="210">
        <f>H82/I$60</f>
        <v>0</v>
      </c>
      <c r="J82" s="211">
        <f>0</f>
        <v>0</v>
      </c>
      <c r="K82" s="210">
        <f>J82/K$60</f>
        <v>0</v>
      </c>
      <c r="L82" s="211">
        <v>0</v>
      </c>
      <c r="M82" s="210">
        <f>L82/M$60</f>
        <v>0</v>
      </c>
      <c r="N82" s="211">
        <v>0</v>
      </c>
      <c r="O82" s="210">
        <f>N82/O$60</f>
        <v>0</v>
      </c>
      <c r="P82" s="211">
        <v>0</v>
      </c>
      <c r="Q82" s="210">
        <f>P82/Q$60</f>
        <v>0</v>
      </c>
      <c r="R82" s="211">
        <v>0</v>
      </c>
      <c r="S82" s="210">
        <f>R82/S$60</f>
        <v>0</v>
      </c>
      <c r="T82" s="211"/>
      <c r="U82" s="212" t="e">
        <f>T82/U$60</f>
        <v>#DIV/0!</v>
      </c>
      <c r="V82" s="182"/>
      <c r="W82" s="811">
        <f t="shared" si="17"/>
        <v>0</v>
      </c>
      <c r="X82" s="213" t="e">
        <f t="shared" si="18"/>
        <v>#DIV/0!</v>
      </c>
    </row>
    <row r="83" spans="1:24" ht="15" customHeight="1" thickTop="1" x14ac:dyDescent="0.2">
      <c r="A83" s="462" t="s">
        <v>160</v>
      </c>
      <c r="X83" s="424"/>
    </row>
    <row r="84" spans="1:24" ht="15" customHeight="1" x14ac:dyDescent="0.2">
      <c r="A84" s="1"/>
      <c r="H84" s="47" t="s">
        <v>19</v>
      </c>
      <c r="J84" s="47" t="s">
        <v>19</v>
      </c>
      <c r="L84" s="47" t="s">
        <v>19</v>
      </c>
      <c r="N84" s="47" t="s">
        <v>19</v>
      </c>
      <c r="P84" s="47" t="s">
        <v>19</v>
      </c>
      <c r="R84" s="47" t="s">
        <v>19</v>
      </c>
      <c r="T84" s="47"/>
    </row>
    <row r="85" spans="1:24" ht="15" customHeight="1" x14ac:dyDescent="0.2">
      <c r="A85" s="1"/>
    </row>
    <row r="86" spans="1:24" x14ac:dyDescent="0.2">
      <c r="A86" s="1"/>
    </row>
    <row r="87" spans="1:24" x14ac:dyDescent="0.2">
      <c r="A87" s="1"/>
    </row>
    <row r="88" spans="1:24" x14ac:dyDescent="0.2">
      <c r="A88" s="1"/>
    </row>
    <row r="89" spans="1:24" x14ac:dyDescent="0.2">
      <c r="A89" s="1"/>
    </row>
    <row r="90" spans="1:24" x14ac:dyDescent="0.2">
      <c r="A90" s="1"/>
    </row>
    <row r="91" spans="1:24" x14ac:dyDescent="0.2">
      <c r="A91" s="1"/>
    </row>
    <row r="92" spans="1:24" x14ac:dyDescent="0.2">
      <c r="A92" s="1"/>
    </row>
    <row r="93" spans="1:24" x14ac:dyDescent="0.2">
      <c r="A93" s="1"/>
    </row>
    <row r="94" spans="1:24" x14ac:dyDescent="0.2">
      <c r="A94" s="1"/>
    </row>
    <row r="95" spans="1:24" x14ac:dyDescent="0.2">
      <c r="A95" s="1"/>
    </row>
    <row r="96" spans="1:24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</sheetData>
  <mergeCells count="77">
    <mergeCell ref="N48:O48"/>
    <mergeCell ref="P48:Q48"/>
    <mergeCell ref="R48:S48"/>
    <mergeCell ref="W48:X48"/>
    <mergeCell ref="B48:C48"/>
    <mergeCell ref="D48:E48"/>
    <mergeCell ref="F48:G48"/>
    <mergeCell ref="H48:I48"/>
    <mergeCell ref="J48:K48"/>
    <mergeCell ref="L48:M48"/>
    <mergeCell ref="T48:U48"/>
    <mergeCell ref="N9:O9"/>
    <mergeCell ref="P9:Q9"/>
    <mergeCell ref="R9:S9"/>
    <mergeCell ref="W9:X9"/>
    <mergeCell ref="B9:C9"/>
    <mergeCell ref="D9:E9"/>
    <mergeCell ref="F9:G9"/>
    <mergeCell ref="H9:I9"/>
    <mergeCell ref="J9:K9"/>
    <mergeCell ref="L9:M9"/>
    <mergeCell ref="T9:U9"/>
    <mergeCell ref="L23:M23"/>
    <mergeCell ref="N23:O23"/>
    <mergeCell ref="P23:Q23"/>
    <mergeCell ref="R23:S23"/>
    <mergeCell ref="W23:X23"/>
    <mergeCell ref="T23:U23"/>
    <mergeCell ref="B23:C23"/>
    <mergeCell ref="D23:E23"/>
    <mergeCell ref="F23:G23"/>
    <mergeCell ref="H23:I23"/>
    <mergeCell ref="J23:K23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W28:X28"/>
    <mergeCell ref="T28:U28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W30:X30"/>
    <mergeCell ref="T30:U30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W37:X37"/>
    <mergeCell ref="T37:U37"/>
    <mergeCell ref="B40:C40"/>
    <mergeCell ref="D40:E40"/>
    <mergeCell ref="F40:G40"/>
    <mergeCell ref="H40:I40"/>
    <mergeCell ref="J40:K40"/>
    <mergeCell ref="N40:O40"/>
    <mergeCell ref="P40:Q40"/>
    <mergeCell ref="R40:S40"/>
    <mergeCell ref="W40:X40"/>
    <mergeCell ref="L40:M40"/>
    <mergeCell ref="T40:U40"/>
  </mergeCells>
  <pageMargins left="0.7" right="0.7" top="0.5" bottom="0.5" header="0.3" footer="0.3"/>
  <pageSetup scale="70" orientation="landscape" r:id="rId1"/>
  <headerFooter alignWithMargins="0">
    <oddFooter>&amp;LPrepared by Planning and Analysis&amp;C&amp;P of &amp;N&amp;RUpdated &amp;D</oddFooter>
  </headerFooter>
  <rowBreaks count="1" manualBreakCount="1">
    <brk id="46" max="21" man="1"/>
  </rowBreaks>
  <colBreaks count="1" manualBreakCount="1">
    <brk id="21" min="7" max="82" man="1"/>
  </colBreaks>
  <ignoredErrors>
    <ignoredError sqref="J63:J8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Dean's Office </vt:lpstr>
      <vt:lpstr>Arch Eng Cons Science</vt:lpstr>
      <vt:lpstr>Bio Ag Engineering </vt:lpstr>
      <vt:lpstr>Chemical </vt:lpstr>
      <vt:lpstr>Civil</vt:lpstr>
      <vt:lpstr>Computer Science</vt:lpstr>
      <vt:lpstr>Electrical  Computer</vt:lpstr>
      <vt:lpstr>Industrial Manu</vt:lpstr>
      <vt:lpstr>Mechanical Nuclear</vt:lpstr>
      <vt:lpstr>Engineering  Summary</vt:lpstr>
      <vt:lpstr>'Arch Eng Cons Science'!Print_Area</vt:lpstr>
      <vt:lpstr>'Bio Ag Engineering '!Print_Area</vt:lpstr>
      <vt:lpstr>'Chemical '!Print_Area</vt:lpstr>
      <vt:lpstr>Civil!Print_Area</vt:lpstr>
      <vt:lpstr>'Computer Science'!Print_Area</vt:lpstr>
      <vt:lpstr>'Dean''s Office '!Print_Area</vt:lpstr>
      <vt:lpstr>'Electrical  Computer'!Print_Area</vt:lpstr>
      <vt:lpstr>'Engineering  Summary'!Print_Area</vt:lpstr>
      <vt:lpstr>'Industrial Manu'!Print_Area</vt:lpstr>
      <vt:lpstr>'Mechanical Nuclear'!Print_Area</vt:lpstr>
      <vt:lpstr>'Arch Eng Cons Science'!Print_Titles</vt:lpstr>
      <vt:lpstr>'Bio Ag Engineering '!Print_Titles</vt:lpstr>
      <vt:lpstr>'Chemical '!Print_Titles</vt:lpstr>
      <vt:lpstr>Civil!Print_Titles</vt:lpstr>
      <vt:lpstr>'Computer Science'!Print_Titles</vt:lpstr>
      <vt:lpstr>'Dean''s Office '!Print_Titles</vt:lpstr>
      <vt:lpstr>'Electrical  Computer'!Print_Titles</vt:lpstr>
      <vt:lpstr>'Industrial Manu'!Print_Titles</vt:lpstr>
      <vt:lpstr>'Mechanical Nuclear'!Print_Titles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Feldkamp</dc:creator>
  <cp:lastModifiedBy>Nancy Baker</cp:lastModifiedBy>
  <cp:lastPrinted>2016-11-09T19:36:11Z</cp:lastPrinted>
  <dcterms:created xsi:type="dcterms:W3CDTF">2015-09-11T14:15:26Z</dcterms:created>
  <dcterms:modified xsi:type="dcterms:W3CDTF">2016-11-09T19:36:20Z</dcterms:modified>
</cp:coreProperties>
</file>