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jbaker\Documents\PA\deptprofiles\"/>
    </mc:Choice>
  </mc:AlternateContent>
  <bookViews>
    <workbookView xWindow="0" yWindow="0" windowWidth="17100" windowHeight="7980" tabRatio="795" firstSheet="4" activeTab="4"/>
  </bookViews>
  <sheets>
    <sheet name="Dean_Ed" sheetId="7" state="hidden" r:id="rId1"/>
    <sheet name="Curriculum &amp; Instruction" sheetId="12" state="hidden" r:id="rId2"/>
    <sheet name="Ed_Leader" sheetId="10" state="hidden" r:id="rId3"/>
    <sheet name="Spec_Ed, Couns &amp; Stu Affair" sheetId="9" state="hidden" r:id="rId4"/>
    <sheet name="ED Sum" sheetId="11" r:id="rId5"/>
    <sheet name="El_Ed &quot;old&quot;" sheetId="4" state="hidden" r:id="rId6"/>
    <sheet name="Sec_Ed &quot;old&quot;" sheetId="5" state="hidden" r:id="rId7"/>
  </sheets>
  <definedNames>
    <definedName name="_xlnm.Print_Area" localSheetId="1">'Curriculum &amp; Instruction'!$A$1:$Y$126</definedName>
    <definedName name="_xlnm.Print_Area" localSheetId="0">Dean_Ed!$A$1:$AD$118</definedName>
    <definedName name="_xlnm.Print_Area" localSheetId="4">'ED Sum'!$A$1:$V$117</definedName>
    <definedName name="_xlnm.Print_Area" localSheetId="2">Ed_Leader!$A$1:$AA$116</definedName>
    <definedName name="_xlnm.Print_Area" localSheetId="5">'El_Ed "old"'!$A$1:$S$107</definedName>
    <definedName name="_xlnm.Print_Area" localSheetId="6">'Sec_Ed "old"'!$A$1:$U$116</definedName>
    <definedName name="_xlnm.Print_Area" localSheetId="3">'Spec_Ed, Couns &amp; Stu Affair'!$A$1:$AC$120</definedName>
    <definedName name="_xlnm.Print_Titles" localSheetId="0">Dean_Ed!$1:$3</definedName>
    <definedName name="_xlnm.Print_Titles" localSheetId="4">'ED Sum'!$1:$1</definedName>
    <definedName name="_xlnm.Print_Titles" localSheetId="2">Ed_Leader!$1:$4</definedName>
    <definedName name="_xlnm.Print_Titles" localSheetId="5">'El_Ed "old"'!$1:$3</definedName>
    <definedName name="_xlnm.Print_Titles" localSheetId="6">'Sec_Ed "old"'!$1:$3</definedName>
    <definedName name="_xlnm.Print_Titles" localSheetId="3">'Spec_Ed, Couns &amp; Stu Affair'!$1:$1</definedName>
  </definedNames>
  <calcPr calcId="152511"/>
</workbook>
</file>

<file path=xl/calcChain.xml><?xml version="1.0" encoding="utf-8"?>
<calcChain xmlns="http://schemas.openxmlformats.org/spreadsheetml/2006/main">
  <c r="U93" i="11" l="1"/>
  <c r="U92" i="11"/>
  <c r="U91" i="11"/>
  <c r="U90" i="11"/>
  <c r="U88" i="11"/>
  <c r="U87" i="11"/>
  <c r="U86" i="11"/>
  <c r="U84" i="11"/>
  <c r="U83" i="11"/>
  <c r="U81" i="11"/>
  <c r="U80" i="11"/>
  <c r="U79" i="11"/>
  <c r="U78" i="11"/>
  <c r="U77" i="11"/>
  <c r="U76" i="11"/>
  <c r="V76" i="11" s="1"/>
  <c r="U75" i="11"/>
  <c r="U74" i="11"/>
  <c r="V72" i="11"/>
  <c r="V71" i="11"/>
  <c r="V70" i="11"/>
  <c r="V68" i="11"/>
  <c r="V67" i="11"/>
  <c r="AC75" i="7"/>
  <c r="V86" i="11" l="1"/>
  <c r="V77" i="11"/>
  <c r="V87" i="11"/>
  <c r="V78" i="11"/>
  <c r="V88" i="11"/>
  <c r="V79" i="11"/>
  <c r="V90" i="11"/>
  <c r="V80" i="11"/>
  <c r="V91" i="11"/>
  <c r="V81" i="11"/>
  <c r="V92" i="11"/>
  <c r="V74" i="11"/>
  <c r="V83" i="11"/>
  <c r="V93" i="11"/>
  <c r="V75" i="11"/>
  <c r="V84" i="11"/>
  <c r="V98" i="11"/>
  <c r="U98" i="11"/>
  <c r="V97" i="11"/>
  <c r="U97" i="11"/>
  <c r="V96" i="11"/>
  <c r="U96" i="11"/>
  <c r="T59" i="11" l="1"/>
  <c r="T58" i="11"/>
  <c r="AC63" i="9"/>
  <c r="AC62" i="9"/>
  <c r="AC55" i="9"/>
  <c r="AC54" i="9"/>
  <c r="AA59" i="10"/>
  <c r="AA58" i="10"/>
  <c r="AA51" i="10"/>
  <c r="AA50" i="10"/>
  <c r="Y69" i="12"/>
  <c r="Y68" i="12"/>
  <c r="AC61" i="7"/>
  <c r="AC60" i="7"/>
  <c r="AC53" i="7"/>
  <c r="AC52" i="7"/>
  <c r="T46" i="11" l="1"/>
  <c r="T47" i="11"/>
  <c r="T53" i="11" l="1"/>
  <c r="T55" i="11" s="1"/>
  <c r="S53" i="11"/>
  <c r="S55" i="11" s="1"/>
  <c r="T49" i="11"/>
  <c r="S49" i="11"/>
  <c r="S51" i="11" s="1"/>
  <c r="V44" i="11"/>
  <c r="V43" i="11"/>
  <c r="V42" i="11"/>
  <c r="V41" i="11"/>
  <c r="V40" i="11"/>
  <c r="V39" i="11"/>
  <c r="V38" i="11"/>
  <c r="V37" i="11"/>
  <c r="V36" i="11"/>
  <c r="V35" i="11"/>
  <c r="U15" i="11"/>
  <c r="U14" i="11"/>
  <c r="U13" i="11"/>
  <c r="U11" i="11"/>
  <c r="Y14" i="7"/>
  <c r="Y12" i="7"/>
  <c r="T51" i="11" l="1"/>
  <c r="T15" i="11" l="1"/>
  <c r="T14" i="11"/>
  <c r="T13" i="11"/>
  <c r="T11" i="11"/>
  <c r="Y29" i="11" l="1"/>
  <c r="X29" i="11"/>
  <c r="Y28" i="11"/>
  <c r="X28" i="11"/>
  <c r="Y12" i="11"/>
  <c r="AC36" i="9"/>
  <c r="AC101" i="9"/>
  <c r="AB101" i="9"/>
  <c r="AC100" i="9"/>
  <c r="AB100" i="9"/>
  <c r="AC99" i="9"/>
  <c r="AB99" i="9"/>
  <c r="AB96" i="9"/>
  <c r="AB95" i="9"/>
  <c r="AB94" i="9"/>
  <c r="AB93" i="9"/>
  <c r="AB91" i="9"/>
  <c r="AB90" i="9"/>
  <c r="AB89" i="9"/>
  <c r="AB87" i="9"/>
  <c r="AB86" i="9"/>
  <c r="AB84" i="9"/>
  <c r="AB83" i="9"/>
  <c r="AB82" i="9"/>
  <c r="AB81" i="9"/>
  <c r="AB80" i="9"/>
  <c r="AB79" i="9"/>
  <c r="AB78" i="9"/>
  <c r="AB77" i="9"/>
  <c r="AC74" i="9"/>
  <c r="AC73" i="9"/>
  <c r="AC71" i="9"/>
  <c r="AC70" i="9"/>
  <c r="AC59" i="9"/>
  <c r="AB59" i="9"/>
  <c r="AC57" i="9"/>
  <c r="AB57" i="9"/>
  <c r="AC51" i="9"/>
  <c r="AC45" i="9"/>
  <c r="AC44" i="9"/>
  <c r="AC43" i="9"/>
  <c r="AC32" i="9"/>
  <c r="AC31" i="9"/>
  <c r="AC30" i="9"/>
  <c r="AC29" i="9"/>
  <c r="AC21" i="9"/>
  <c r="AB21" i="9"/>
  <c r="AC20" i="9"/>
  <c r="AB20" i="9"/>
  <c r="AC18" i="9"/>
  <c r="AB18" i="9"/>
  <c r="AC17" i="9"/>
  <c r="AB17" i="9"/>
  <c r="AB15" i="9"/>
  <c r="AB13" i="9"/>
  <c r="AC15" i="9"/>
  <c r="AC13" i="9"/>
  <c r="AC12" i="9"/>
  <c r="AB12" i="9"/>
  <c r="AA96" i="10"/>
  <c r="Z96" i="10"/>
  <c r="AA95" i="10"/>
  <c r="Z95" i="10"/>
  <c r="AA94" i="10"/>
  <c r="Z94" i="10"/>
  <c r="Z91" i="10"/>
  <c r="Z90" i="10"/>
  <c r="Z89" i="10"/>
  <c r="Z88" i="10"/>
  <c r="Z86" i="10"/>
  <c r="Z85" i="10"/>
  <c r="Z84" i="10"/>
  <c r="Z82" i="10"/>
  <c r="Z81" i="10"/>
  <c r="Z79" i="10"/>
  <c r="Z78" i="10"/>
  <c r="Z77" i="10"/>
  <c r="Z76" i="10"/>
  <c r="Z75" i="10"/>
  <c r="Z74" i="10"/>
  <c r="Z73" i="10"/>
  <c r="Z72" i="10"/>
  <c r="AA69" i="10"/>
  <c r="AA68" i="10"/>
  <c r="AA66" i="10"/>
  <c r="AA65" i="10"/>
  <c r="AA55" i="10"/>
  <c r="Z55" i="10"/>
  <c r="AA53" i="10"/>
  <c r="Z53" i="10"/>
  <c r="AA47" i="10"/>
  <c r="AA42" i="10"/>
  <c r="AA41" i="10"/>
  <c r="AA40" i="10"/>
  <c r="AA39" i="10"/>
  <c r="AA34" i="10"/>
  <c r="AA33" i="10"/>
  <c r="AA32" i="10"/>
  <c r="AA29" i="10"/>
  <c r="AA28" i="10"/>
  <c r="AA18" i="10"/>
  <c r="Z18" i="10"/>
  <c r="AA15" i="10"/>
  <c r="Z15" i="10"/>
  <c r="Z13" i="10"/>
  <c r="AA13" i="10"/>
  <c r="AA12" i="10"/>
  <c r="Z12" i="10"/>
  <c r="Y107" i="12"/>
  <c r="X107" i="12"/>
  <c r="Y106" i="12"/>
  <c r="X106" i="12"/>
  <c r="Y105" i="12"/>
  <c r="X105" i="12"/>
  <c r="Y80" i="12"/>
  <c r="Y79" i="12"/>
  <c r="Y77" i="12"/>
  <c r="Y76" i="12"/>
  <c r="Y52" i="12"/>
  <c r="Y50" i="12"/>
  <c r="Y44" i="12"/>
  <c r="Y43" i="12"/>
  <c r="Y42" i="12"/>
  <c r="Y39" i="12"/>
  <c r="Y38" i="12"/>
  <c r="Y37" i="12"/>
  <c r="Y36" i="12"/>
  <c r="Y30" i="12"/>
  <c r="X30" i="12"/>
  <c r="Y28" i="12"/>
  <c r="X28" i="12"/>
  <c r="Y26" i="12"/>
  <c r="X26" i="12"/>
  <c r="Y22" i="12"/>
  <c r="X22" i="12"/>
  <c r="Y21" i="12"/>
  <c r="X21" i="12"/>
  <c r="X24" i="12"/>
  <c r="X20" i="12"/>
  <c r="Y18" i="12"/>
  <c r="X18" i="12"/>
  <c r="Y15" i="12"/>
  <c r="X15" i="12"/>
  <c r="X13" i="12"/>
  <c r="Y13" i="12"/>
  <c r="Y12" i="12"/>
  <c r="X12" i="12"/>
  <c r="AC99" i="7"/>
  <c r="AB99" i="7"/>
  <c r="AC98" i="7"/>
  <c r="AB98" i="7"/>
  <c r="AC97" i="7"/>
  <c r="AB97" i="7"/>
  <c r="AB94" i="7"/>
  <c r="AB93" i="7"/>
  <c r="AB92" i="7"/>
  <c r="AB91" i="7"/>
  <c r="AB89" i="7"/>
  <c r="AB88" i="7"/>
  <c r="AB87" i="7"/>
  <c r="AB85" i="7"/>
  <c r="AB84" i="7"/>
  <c r="AB82" i="7"/>
  <c r="AB81" i="7"/>
  <c r="AB80" i="7"/>
  <c r="AB79" i="7"/>
  <c r="AB78" i="7"/>
  <c r="AB77" i="7"/>
  <c r="AB76" i="7"/>
  <c r="AB75" i="7"/>
  <c r="AC73" i="7"/>
  <c r="AC72" i="7"/>
  <c r="AC71" i="7"/>
  <c r="AC69" i="7"/>
  <c r="AC68" i="7"/>
  <c r="AC57" i="7"/>
  <c r="AB57" i="7"/>
  <c r="AC55" i="7"/>
  <c r="AB55" i="7"/>
  <c r="AC49" i="7"/>
  <c r="AC43" i="7"/>
  <c r="AC42" i="7"/>
  <c r="AC41" i="7"/>
  <c r="AC28" i="7"/>
  <c r="AC27" i="7"/>
  <c r="AB18" i="7"/>
  <c r="AB16" i="7"/>
  <c r="AB14" i="7"/>
  <c r="AB12" i="7"/>
  <c r="Z31" i="7"/>
  <c r="Y35" i="7"/>
  <c r="Z44" i="7"/>
  <c r="AC44" i="7" s="1"/>
  <c r="Z49" i="7"/>
  <c r="Z73" i="7"/>
  <c r="Z76" i="7" s="1"/>
  <c r="AC76" i="7" s="1"/>
  <c r="Z75" i="7"/>
  <c r="Z91" i="7"/>
  <c r="AC91" i="7" s="1"/>
  <c r="V40" i="12"/>
  <c r="U44" i="12"/>
  <c r="V53" i="12"/>
  <c r="V58" i="12"/>
  <c r="V59" i="12" s="1"/>
  <c r="V81" i="12"/>
  <c r="V84" i="12" s="1"/>
  <c r="V101" i="12"/>
  <c r="X30" i="10"/>
  <c r="W34" i="10"/>
  <c r="Z34" i="10" s="1"/>
  <c r="X42" i="10"/>
  <c r="X47" i="10"/>
  <c r="X48" i="10" s="1"/>
  <c r="AA48" i="10" s="1"/>
  <c r="X70" i="10"/>
  <c r="X73" i="10" s="1"/>
  <c r="AA73" i="10" s="1"/>
  <c r="X74" i="10"/>
  <c r="AA74" i="10" s="1"/>
  <c r="X76" i="10"/>
  <c r="AA76" i="10" s="1"/>
  <c r="X78" i="10"/>
  <c r="AA78" i="10" s="1"/>
  <c r="Z33" i="9"/>
  <c r="Y37" i="9"/>
  <c r="AB37" i="9" s="1"/>
  <c r="Z46" i="9"/>
  <c r="AC46" i="9" s="1"/>
  <c r="Z51" i="9"/>
  <c r="Z75" i="9"/>
  <c r="AC75" i="9" s="1"/>
  <c r="Z77" i="9"/>
  <c r="AC77" i="9" s="1"/>
  <c r="Z78" i="9"/>
  <c r="AC78" i="9" s="1"/>
  <c r="Z79" i="9"/>
  <c r="AC79" i="9" s="1"/>
  <c r="Z80" i="9"/>
  <c r="AC80" i="9" s="1"/>
  <c r="Z81" i="9"/>
  <c r="AC81" i="9" s="1"/>
  <c r="Z82" i="9"/>
  <c r="AC82" i="9" s="1"/>
  <c r="Z83" i="9"/>
  <c r="AC83" i="9" s="1"/>
  <c r="Z84" i="9"/>
  <c r="AC84" i="9" s="1"/>
  <c r="Z86" i="9"/>
  <c r="AC86" i="9" s="1"/>
  <c r="Z87" i="9"/>
  <c r="AC87" i="9" s="1"/>
  <c r="Z89" i="9"/>
  <c r="AC89" i="9" s="1"/>
  <c r="Z90" i="9"/>
  <c r="AC90" i="9" s="1"/>
  <c r="Z91" i="9"/>
  <c r="AC91" i="9" s="1"/>
  <c r="Z93" i="9"/>
  <c r="AC93" i="9" s="1"/>
  <c r="Z94" i="9"/>
  <c r="AC94" i="9" s="1"/>
  <c r="Z95" i="9"/>
  <c r="AC95" i="9" s="1"/>
  <c r="Z96" i="9"/>
  <c r="AC96" i="9" s="1"/>
  <c r="U30" i="11"/>
  <c r="X30" i="11" l="1"/>
  <c r="V97" i="12"/>
  <c r="V92" i="12"/>
  <c r="V89" i="12"/>
  <c r="V87" i="12"/>
  <c r="X91" i="10"/>
  <c r="AA91" i="10" s="1"/>
  <c r="X89" i="10"/>
  <c r="AA89" i="10" s="1"/>
  <c r="X88" i="10"/>
  <c r="AA88" i="10" s="1"/>
  <c r="X85" i="10"/>
  <c r="AA85" i="10" s="1"/>
  <c r="X82" i="10"/>
  <c r="AA82" i="10" s="1"/>
  <c r="X81" i="10"/>
  <c r="AA81" i="10" s="1"/>
  <c r="X72" i="10"/>
  <c r="AA72" i="10" s="1"/>
  <c r="X84" i="10"/>
  <c r="AA84" i="10" s="1"/>
  <c r="AA70" i="10"/>
  <c r="Z85" i="7"/>
  <c r="AC85" i="7" s="1"/>
  <c r="Z84" i="7"/>
  <c r="AC84" i="7" s="1"/>
  <c r="Z93" i="7"/>
  <c r="AC93" i="7" s="1"/>
  <c r="Z79" i="7"/>
  <c r="AC79" i="7" s="1"/>
  <c r="Z89" i="7"/>
  <c r="AC89" i="7" s="1"/>
  <c r="Z87" i="7"/>
  <c r="AC87" i="7" s="1"/>
  <c r="Z81" i="7"/>
  <c r="AC81" i="7" s="1"/>
  <c r="Z92" i="7"/>
  <c r="AC92" i="7" s="1"/>
  <c r="Z77" i="7"/>
  <c r="AC77" i="7" s="1"/>
  <c r="Z52" i="9"/>
  <c r="AC52" i="9" s="1"/>
  <c r="Z50" i="7"/>
  <c r="AC50" i="7" s="1"/>
  <c r="V100" i="12"/>
  <c r="V85" i="12"/>
  <c r="V99" i="12"/>
  <c r="V83" i="12"/>
  <c r="V95" i="12"/>
  <c r="V93" i="12"/>
  <c r="Z94" i="7"/>
  <c r="AC94" i="7" s="1"/>
  <c r="Z88" i="7"/>
  <c r="AC88" i="7" s="1"/>
  <c r="Z82" i="7"/>
  <c r="AC82" i="7" s="1"/>
  <c r="Z80" i="7"/>
  <c r="AC80" i="7" s="1"/>
  <c r="Z78" i="7"/>
  <c r="AC78" i="7" s="1"/>
  <c r="V102" i="12"/>
  <c r="V96" i="12"/>
  <c r="V90" i="12"/>
  <c r="V88" i="12"/>
  <c r="V86" i="12"/>
  <c r="X90" i="10"/>
  <c r="AA90" i="10" s="1"/>
  <c r="X86" i="10"/>
  <c r="AA86" i="10" s="1"/>
  <c r="X79" i="10"/>
  <c r="AA79" i="10" s="1"/>
  <c r="X77" i="10"/>
  <c r="AA77" i="10" s="1"/>
  <c r="X75" i="10"/>
  <c r="AA75" i="10" s="1"/>
  <c r="W93" i="9" l="1"/>
  <c r="W77" i="9"/>
  <c r="S100" i="12"/>
  <c r="S99" i="12"/>
  <c r="S97" i="12"/>
  <c r="S93" i="12"/>
  <c r="S92" i="12"/>
  <c r="S83" i="12"/>
  <c r="U88" i="10"/>
  <c r="U84" i="10"/>
  <c r="U82" i="10"/>
  <c r="U81" i="10"/>
  <c r="U72" i="10"/>
  <c r="W92" i="7"/>
  <c r="W91" i="7"/>
  <c r="W89" i="7"/>
  <c r="W87" i="7"/>
  <c r="W84" i="7"/>
  <c r="W75" i="7"/>
  <c r="R58" i="11" l="1"/>
  <c r="R59" i="11"/>
  <c r="R46" i="11" l="1"/>
  <c r="R47" i="11"/>
  <c r="S15" i="11" l="1"/>
  <c r="X19" i="12"/>
  <c r="X16" i="12"/>
  <c r="W14" i="7"/>
  <c r="W12" i="7"/>
  <c r="R53" i="11" l="1"/>
  <c r="Q53" i="11"/>
  <c r="R49" i="11"/>
  <c r="Q49" i="11"/>
  <c r="R51" i="11" l="1"/>
  <c r="Q51" i="11"/>
  <c r="Q55" i="11"/>
  <c r="R55" i="11"/>
  <c r="R114" i="11"/>
  <c r="R113" i="11"/>
  <c r="R110" i="11"/>
  <c r="R111" i="11" s="1"/>
  <c r="R105" i="11"/>
  <c r="R106" i="11" s="1"/>
  <c r="V117" i="9"/>
  <c r="V116" i="9"/>
  <c r="V113" i="9"/>
  <c r="V114" i="9" s="1"/>
  <c r="V119" i="9" s="1"/>
  <c r="V108" i="9"/>
  <c r="V109" i="9" s="1"/>
  <c r="T114" i="10"/>
  <c r="T112" i="10"/>
  <c r="T110" i="10"/>
  <c r="T105" i="10"/>
  <c r="R123" i="12"/>
  <c r="R122" i="12"/>
  <c r="R120" i="12"/>
  <c r="R119" i="12"/>
  <c r="R114" i="12"/>
  <c r="R115" i="12" s="1"/>
  <c r="V115" i="7"/>
  <c r="V114" i="7"/>
  <c r="V111" i="7"/>
  <c r="V112" i="7" s="1"/>
  <c r="V117" i="7" s="1"/>
  <c r="V106" i="7"/>
  <c r="V107" i="7" s="1"/>
  <c r="R124" i="12" l="1"/>
  <c r="V116" i="7"/>
  <c r="R125" i="12"/>
  <c r="V118" i="9"/>
  <c r="R116" i="11"/>
  <c r="T115" i="10"/>
  <c r="R115" i="11"/>
  <c r="R15" i="11"/>
  <c r="R14" i="11"/>
  <c r="R13" i="11"/>
  <c r="R11" i="11"/>
  <c r="S11" i="11"/>
  <c r="S13" i="11"/>
  <c r="S14" i="11"/>
  <c r="T22" i="11"/>
  <c r="T23" i="11"/>
  <c r="Y23" i="11" s="1"/>
  <c r="T24" i="11"/>
  <c r="T25" i="11"/>
  <c r="S30" i="11"/>
  <c r="T35" i="11"/>
  <c r="T36" i="11"/>
  <c r="T37" i="11"/>
  <c r="T39" i="11"/>
  <c r="T40" i="11"/>
  <c r="T41" i="11"/>
  <c r="T42" i="11"/>
  <c r="T67" i="11"/>
  <c r="T68" i="11"/>
  <c r="T70" i="11"/>
  <c r="T71" i="11"/>
  <c r="S74" i="11"/>
  <c r="S75" i="11"/>
  <c r="S76" i="11"/>
  <c r="S77" i="11"/>
  <c r="S78" i="11"/>
  <c r="S79" i="11"/>
  <c r="S80" i="11"/>
  <c r="S81" i="11"/>
  <c r="S83" i="11"/>
  <c r="S84" i="11"/>
  <c r="S86" i="11"/>
  <c r="S87" i="11"/>
  <c r="S88" i="11"/>
  <c r="S90" i="11"/>
  <c r="S91" i="11"/>
  <c r="S92" i="11"/>
  <c r="S93" i="11"/>
  <c r="S96" i="11"/>
  <c r="T96" i="11"/>
  <c r="S97" i="11"/>
  <c r="T97" i="11"/>
  <c r="S98" i="11"/>
  <c r="T98" i="11"/>
  <c r="X33" i="9"/>
  <c r="AC33" i="9" s="1"/>
  <c r="W37" i="9"/>
  <c r="X46" i="9"/>
  <c r="X51" i="9"/>
  <c r="X75" i="9"/>
  <c r="X77" i="9"/>
  <c r="X78" i="9"/>
  <c r="X79" i="9"/>
  <c r="X80" i="9"/>
  <c r="X81" i="9"/>
  <c r="X82" i="9"/>
  <c r="X83" i="9"/>
  <c r="X84" i="9"/>
  <c r="X86" i="9"/>
  <c r="X87" i="9"/>
  <c r="X89" i="9"/>
  <c r="X90" i="9"/>
  <c r="X91" i="9"/>
  <c r="X93" i="9"/>
  <c r="X94" i="9"/>
  <c r="X95" i="9"/>
  <c r="X96" i="9"/>
  <c r="V30" i="10"/>
  <c r="AA30" i="10" s="1"/>
  <c r="U34" i="10"/>
  <c r="V42" i="10"/>
  <c r="V47" i="10"/>
  <c r="V70" i="10"/>
  <c r="V74" i="10" s="1"/>
  <c r="Y19" i="12"/>
  <c r="Y16" i="12"/>
  <c r="T40" i="12"/>
  <c r="S44" i="12"/>
  <c r="T53" i="12"/>
  <c r="T58" i="12"/>
  <c r="T81" i="12"/>
  <c r="X31" i="7"/>
  <c r="AC31" i="7" s="1"/>
  <c r="W35" i="7"/>
  <c r="X44" i="7"/>
  <c r="X49" i="7"/>
  <c r="X73" i="7"/>
  <c r="X76" i="7" s="1"/>
  <c r="R25" i="11"/>
  <c r="R24" i="11"/>
  <c r="R23" i="11"/>
  <c r="R22" i="11"/>
  <c r="V33" i="9"/>
  <c r="T30" i="10"/>
  <c r="R40" i="12"/>
  <c r="V31" i="7"/>
  <c r="R26" i="11" s="1"/>
  <c r="P46" i="11"/>
  <c r="P47" i="11"/>
  <c r="T70" i="10"/>
  <c r="T90" i="10"/>
  <c r="T88" i="10"/>
  <c r="T85" i="10"/>
  <c r="T82" i="10"/>
  <c r="T79" i="10"/>
  <c r="T77" i="10"/>
  <c r="T75" i="10"/>
  <c r="T73" i="10"/>
  <c r="Q83" i="12"/>
  <c r="U75" i="7"/>
  <c r="P49" i="11"/>
  <c r="P66" i="12"/>
  <c r="P53" i="11" s="1"/>
  <c r="O66" i="12"/>
  <c r="O53" i="11" s="1"/>
  <c r="O64" i="12"/>
  <c r="O49" i="11" s="1"/>
  <c r="N68" i="12"/>
  <c r="N58" i="11" s="1"/>
  <c r="L68" i="12"/>
  <c r="J68" i="12"/>
  <c r="H68" i="12"/>
  <c r="F68" i="12"/>
  <c r="D68" i="12"/>
  <c r="P68" i="12"/>
  <c r="P59" i="11"/>
  <c r="Q15" i="11"/>
  <c r="Q11" i="11"/>
  <c r="Q13" i="11"/>
  <c r="Q14" i="11"/>
  <c r="Q30" i="11"/>
  <c r="R35" i="11"/>
  <c r="R36" i="11"/>
  <c r="R37" i="11"/>
  <c r="R39" i="11"/>
  <c r="R40" i="11"/>
  <c r="R41" i="11"/>
  <c r="R42" i="11"/>
  <c r="R67" i="11"/>
  <c r="R68" i="11"/>
  <c r="R70" i="11"/>
  <c r="R71" i="11"/>
  <c r="Q75" i="11"/>
  <c r="Q76" i="11"/>
  <c r="Q77" i="11"/>
  <c r="Q78" i="11"/>
  <c r="Q79" i="11"/>
  <c r="Q80" i="11"/>
  <c r="Q81" i="11"/>
  <c r="Q83" i="11"/>
  <c r="Q84" i="11"/>
  <c r="Q86" i="11"/>
  <c r="Q87" i="11"/>
  <c r="Q88" i="11"/>
  <c r="Q90" i="11"/>
  <c r="Q91" i="11"/>
  <c r="Q92" i="11"/>
  <c r="Q93" i="11"/>
  <c r="Q96" i="11"/>
  <c r="R96" i="11"/>
  <c r="Q97" i="11"/>
  <c r="R97" i="11"/>
  <c r="Q98" i="11"/>
  <c r="R98" i="11"/>
  <c r="U37" i="9"/>
  <c r="V46" i="9"/>
  <c r="V51" i="9"/>
  <c r="V75" i="9"/>
  <c r="V77" i="9"/>
  <c r="V78" i="9"/>
  <c r="V79" i="9"/>
  <c r="V80" i="9"/>
  <c r="V81" i="9"/>
  <c r="V82" i="9"/>
  <c r="V83" i="9"/>
  <c r="V84" i="9"/>
  <c r="V86" i="9"/>
  <c r="V87" i="9"/>
  <c r="V89" i="9"/>
  <c r="V90" i="9"/>
  <c r="V91" i="9"/>
  <c r="V93" i="9"/>
  <c r="V94" i="9"/>
  <c r="V95" i="9"/>
  <c r="V96" i="9"/>
  <c r="S34" i="10"/>
  <c r="T42" i="10"/>
  <c r="T47" i="10"/>
  <c r="T48" i="10" s="1"/>
  <c r="Q44" i="12"/>
  <c r="R53" i="12"/>
  <c r="R58" i="12"/>
  <c r="R81" i="12"/>
  <c r="U35" i="7"/>
  <c r="V44" i="7"/>
  <c r="V49" i="7"/>
  <c r="R43" i="11" s="1"/>
  <c r="V73" i="7"/>
  <c r="V82" i="7"/>
  <c r="V88" i="7"/>
  <c r="V93" i="7"/>
  <c r="P98" i="11"/>
  <c r="O98" i="11"/>
  <c r="P97" i="11"/>
  <c r="O97" i="11"/>
  <c r="P96" i="11"/>
  <c r="O96" i="11"/>
  <c r="S95" i="9"/>
  <c r="S94" i="9"/>
  <c r="S93" i="9"/>
  <c r="S91" i="9"/>
  <c r="S90" i="9"/>
  <c r="S89" i="9"/>
  <c r="S87" i="9"/>
  <c r="S86" i="9"/>
  <c r="S78" i="9"/>
  <c r="S77" i="9"/>
  <c r="S96" i="9"/>
  <c r="S84" i="9"/>
  <c r="S83" i="9"/>
  <c r="S82" i="9"/>
  <c r="S81" i="9"/>
  <c r="S80" i="9"/>
  <c r="S79" i="9"/>
  <c r="Q89" i="10"/>
  <c r="Q88" i="10"/>
  <c r="Q86" i="10"/>
  <c r="Q84" i="10"/>
  <c r="Q82" i="10"/>
  <c r="Q81" i="10"/>
  <c r="Q72" i="10"/>
  <c r="Q91" i="10"/>
  <c r="Q90" i="10"/>
  <c r="Q85" i="10"/>
  <c r="Q79" i="10"/>
  <c r="Q78" i="10"/>
  <c r="Q77" i="10"/>
  <c r="Q76" i="10"/>
  <c r="Q75" i="10"/>
  <c r="Q74" i="10"/>
  <c r="Q73" i="10"/>
  <c r="O100" i="12"/>
  <c r="X100" i="12" s="1"/>
  <c r="O99" i="12"/>
  <c r="X99" i="12" s="1"/>
  <c r="O97" i="12"/>
  <c r="X97" i="12" s="1"/>
  <c r="O96" i="12"/>
  <c r="X96" i="12" s="1"/>
  <c r="O95" i="12"/>
  <c r="X95" i="12" s="1"/>
  <c r="O93" i="12"/>
  <c r="X93" i="12" s="1"/>
  <c r="O92" i="12"/>
  <c r="X92" i="12" s="1"/>
  <c r="O89" i="12"/>
  <c r="X89" i="12" s="1"/>
  <c r="O87" i="12"/>
  <c r="X87" i="12" s="1"/>
  <c r="O85" i="12"/>
  <c r="X85" i="12" s="1"/>
  <c r="O84" i="12"/>
  <c r="X84" i="12" s="1"/>
  <c r="O83" i="12"/>
  <c r="O102" i="12"/>
  <c r="X102" i="12" s="1"/>
  <c r="O101" i="12"/>
  <c r="X101" i="12" s="1"/>
  <c r="O90" i="12"/>
  <c r="X90" i="12" s="1"/>
  <c r="O88" i="12"/>
  <c r="X88" i="12" s="1"/>
  <c r="O86" i="12"/>
  <c r="X86" i="12" s="1"/>
  <c r="S93" i="7"/>
  <c r="S92" i="7"/>
  <c r="S91" i="7"/>
  <c r="S89" i="7"/>
  <c r="S87" i="7"/>
  <c r="S85" i="7"/>
  <c r="S84" i="7"/>
  <c r="S77" i="7"/>
  <c r="S75" i="7"/>
  <c r="S94" i="7"/>
  <c r="S88" i="7"/>
  <c r="S82" i="7"/>
  <c r="S81" i="7"/>
  <c r="S80" i="7"/>
  <c r="S79" i="7"/>
  <c r="S78" i="7"/>
  <c r="S76" i="7"/>
  <c r="T93" i="9"/>
  <c r="T87" i="9"/>
  <c r="T82" i="9"/>
  <c r="T78" i="9"/>
  <c r="R70" i="10"/>
  <c r="R90" i="10"/>
  <c r="R88" i="10"/>
  <c r="R85" i="10"/>
  <c r="R79" i="10"/>
  <c r="R75" i="10"/>
  <c r="P81" i="12"/>
  <c r="P86" i="12"/>
  <c r="T73" i="7"/>
  <c r="T93" i="7"/>
  <c r="T88" i="7"/>
  <c r="T85" i="7"/>
  <c r="T82" i="7"/>
  <c r="T80" i="7"/>
  <c r="T78" i="7"/>
  <c r="Q15" i="10"/>
  <c r="N53" i="11"/>
  <c r="N55" i="11" s="1"/>
  <c r="M53" i="11"/>
  <c r="M55" i="11" s="1"/>
  <c r="M49" i="11"/>
  <c r="M51" i="11" s="1"/>
  <c r="N64" i="12"/>
  <c r="N49" i="11" s="1"/>
  <c r="N51" i="11" s="1"/>
  <c r="T51" i="9"/>
  <c r="T46" i="9"/>
  <c r="P58" i="12"/>
  <c r="P53" i="12"/>
  <c r="P59" i="12" s="1"/>
  <c r="T49" i="7"/>
  <c r="T44" i="7"/>
  <c r="T50" i="7" s="1"/>
  <c r="L47" i="11"/>
  <c r="Y47" i="11" s="1"/>
  <c r="J47" i="11"/>
  <c r="F47" i="11"/>
  <c r="N47" i="11"/>
  <c r="L46" i="11"/>
  <c r="J46" i="11"/>
  <c r="F46" i="11"/>
  <c r="N46" i="11"/>
  <c r="L59" i="11"/>
  <c r="Y59" i="11" s="1"/>
  <c r="J59" i="11"/>
  <c r="H59" i="11"/>
  <c r="F59" i="11"/>
  <c r="N59" i="11"/>
  <c r="R60" i="7"/>
  <c r="I15" i="11"/>
  <c r="G15" i="11"/>
  <c r="O15" i="11"/>
  <c r="M15" i="11"/>
  <c r="K14" i="11"/>
  <c r="I14" i="11"/>
  <c r="G14" i="11"/>
  <c r="O14" i="11"/>
  <c r="M14" i="11"/>
  <c r="G11" i="11"/>
  <c r="O11" i="11"/>
  <c r="M11" i="11"/>
  <c r="S18" i="7"/>
  <c r="O30" i="11"/>
  <c r="P11" i="11"/>
  <c r="K13" i="11"/>
  <c r="I13" i="11"/>
  <c r="G13" i="11"/>
  <c r="M13" i="11"/>
  <c r="P13" i="11"/>
  <c r="P14" i="11"/>
  <c r="P15" i="11"/>
  <c r="P22" i="11"/>
  <c r="P23" i="11"/>
  <c r="P24" i="11"/>
  <c r="P25" i="11"/>
  <c r="P35" i="11"/>
  <c r="P36" i="11"/>
  <c r="P37" i="11"/>
  <c r="P39" i="11"/>
  <c r="P40" i="11"/>
  <c r="P41" i="11"/>
  <c r="P42" i="11"/>
  <c r="P67" i="11"/>
  <c r="P68" i="11"/>
  <c r="P69" i="11"/>
  <c r="P70" i="11"/>
  <c r="P71" i="11"/>
  <c r="T75" i="9"/>
  <c r="O80" i="11"/>
  <c r="O91" i="11"/>
  <c r="S37" i="9"/>
  <c r="T33" i="9"/>
  <c r="P58" i="10"/>
  <c r="Q34" i="10"/>
  <c r="R30" i="10"/>
  <c r="R42" i="10"/>
  <c r="R47" i="10"/>
  <c r="O44" i="12"/>
  <c r="P40" i="12"/>
  <c r="S35" i="7"/>
  <c r="T31" i="7"/>
  <c r="N15" i="11"/>
  <c r="N14" i="11"/>
  <c r="N13" i="11"/>
  <c r="N11" i="11"/>
  <c r="L15" i="11"/>
  <c r="J15" i="11"/>
  <c r="E109" i="11"/>
  <c r="E108" i="11"/>
  <c r="E104" i="11"/>
  <c r="E103" i="11"/>
  <c r="E101" i="11"/>
  <c r="I114" i="7"/>
  <c r="I111" i="7"/>
  <c r="E110" i="11" s="1"/>
  <c r="I106" i="7"/>
  <c r="E105" i="11"/>
  <c r="N25" i="11"/>
  <c r="N24" i="11"/>
  <c r="N23" i="11"/>
  <c r="N22" i="11"/>
  <c r="P60" i="7"/>
  <c r="P62" i="9"/>
  <c r="N58" i="10"/>
  <c r="J23" i="11"/>
  <c r="J22" i="11"/>
  <c r="M97" i="11"/>
  <c r="N97" i="11"/>
  <c r="M98" i="11"/>
  <c r="N98" i="11"/>
  <c r="N96" i="11"/>
  <c r="M96" i="11"/>
  <c r="M79" i="11"/>
  <c r="M80" i="11"/>
  <c r="M81" i="11"/>
  <c r="M83" i="11"/>
  <c r="M84" i="11"/>
  <c r="M86" i="11"/>
  <c r="M87" i="11"/>
  <c r="M88" i="11"/>
  <c r="M90" i="11"/>
  <c r="M91" i="11"/>
  <c r="M92" i="11"/>
  <c r="M93" i="11"/>
  <c r="M78" i="11"/>
  <c r="M77" i="11"/>
  <c r="M76" i="11"/>
  <c r="M75" i="11"/>
  <c r="M74" i="11"/>
  <c r="N71" i="11"/>
  <c r="N70" i="11"/>
  <c r="N69" i="11"/>
  <c r="N68" i="11"/>
  <c r="N67" i="11"/>
  <c r="R83" i="9"/>
  <c r="R96" i="9"/>
  <c r="R95" i="9"/>
  <c r="R94" i="9"/>
  <c r="R93" i="9"/>
  <c r="R91" i="9"/>
  <c r="R90" i="9"/>
  <c r="R89" i="9"/>
  <c r="R87" i="9"/>
  <c r="R86" i="9"/>
  <c r="R84" i="9"/>
  <c r="R82" i="9"/>
  <c r="R81" i="9"/>
  <c r="R80" i="9"/>
  <c r="R79" i="9"/>
  <c r="R78" i="9"/>
  <c r="R77" i="9"/>
  <c r="T45" i="4"/>
  <c r="M30" i="11"/>
  <c r="Q37" i="9"/>
  <c r="O34" i="10"/>
  <c r="M44" i="12"/>
  <c r="L119" i="12"/>
  <c r="L114" i="12"/>
  <c r="P113" i="9"/>
  <c r="P108" i="9"/>
  <c r="L118" i="12"/>
  <c r="L123" i="12" s="1"/>
  <c r="L117" i="12"/>
  <c r="L120" i="12" s="1"/>
  <c r="L125" i="12" s="1"/>
  <c r="L110" i="12"/>
  <c r="B126" i="12"/>
  <c r="B116" i="10"/>
  <c r="B120" i="9"/>
  <c r="P118" i="9"/>
  <c r="P116" i="9"/>
  <c r="P114" i="9"/>
  <c r="P109" i="9"/>
  <c r="N114" i="10"/>
  <c r="N112" i="10"/>
  <c r="N110" i="10"/>
  <c r="N115" i="10" s="1"/>
  <c r="N105" i="10"/>
  <c r="L124" i="12"/>
  <c r="P116" i="7"/>
  <c r="P114" i="7"/>
  <c r="B118" i="7"/>
  <c r="C116" i="7"/>
  <c r="C115" i="7"/>
  <c r="C114" i="7"/>
  <c r="P112" i="7"/>
  <c r="C112" i="7"/>
  <c r="P107" i="7"/>
  <c r="P117" i="7" s="1"/>
  <c r="C107" i="7"/>
  <c r="N35" i="11"/>
  <c r="H36" i="11"/>
  <c r="J36" i="11"/>
  <c r="L36" i="11"/>
  <c r="N36" i="11"/>
  <c r="H37" i="11"/>
  <c r="J37" i="11"/>
  <c r="L37" i="11"/>
  <c r="N37" i="11"/>
  <c r="H39" i="11"/>
  <c r="J39" i="11"/>
  <c r="L39" i="11"/>
  <c r="N39" i="11"/>
  <c r="H40" i="11"/>
  <c r="J40" i="11"/>
  <c r="L40" i="11"/>
  <c r="N40" i="11"/>
  <c r="H41" i="11"/>
  <c r="J41" i="11"/>
  <c r="L41" i="11"/>
  <c r="N41" i="11"/>
  <c r="H42" i="11"/>
  <c r="J42" i="11"/>
  <c r="L42" i="11"/>
  <c r="N42" i="11"/>
  <c r="H53" i="12"/>
  <c r="J53" i="12"/>
  <c r="L53" i="12"/>
  <c r="N53" i="12"/>
  <c r="H58" i="12"/>
  <c r="J58" i="12"/>
  <c r="J43" i="11" s="1"/>
  <c r="L58" i="12"/>
  <c r="L59" i="12" s="1"/>
  <c r="N58" i="12"/>
  <c r="F58" i="12"/>
  <c r="F53" i="12"/>
  <c r="F36" i="11"/>
  <c r="F37" i="11"/>
  <c r="F39" i="11"/>
  <c r="F40" i="11"/>
  <c r="F41" i="11"/>
  <c r="F42" i="11"/>
  <c r="P35" i="4"/>
  <c r="P40" i="4" s="1"/>
  <c r="L38" i="12"/>
  <c r="L40" i="12" s="1"/>
  <c r="J38" i="12"/>
  <c r="J24" i="11" s="1"/>
  <c r="J25" i="11"/>
  <c r="F25" i="11"/>
  <c r="F24" i="11"/>
  <c r="F23" i="11"/>
  <c r="F22" i="11"/>
  <c r="D24" i="11"/>
  <c r="D25" i="11"/>
  <c r="N31" i="7"/>
  <c r="L11" i="11"/>
  <c r="L14" i="11"/>
  <c r="L13" i="11"/>
  <c r="AC20" i="7"/>
  <c r="AB20" i="7"/>
  <c r="F13" i="12"/>
  <c r="F12" i="12"/>
  <c r="I30" i="12"/>
  <c r="I28" i="12"/>
  <c r="I26" i="12"/>
  <c r="I18" i="12"/>
  <c r="H18" i="12"/>
  <c r="F18" i="12"/>
  <c r="N81" i="12"/>
  <c r="N40" i="12"/>
  <c r="N26" i="11" s="1"/>
  <c r="J40" i="12"/>
  <c r="H40" i="12"/>
  <c r="F40" i="12"/>
  <c r="D40" i="12"/>
  <c r="D26" i="11" s="1"/>
  <c r="K15" i="12"/>
  <c r="J15" i="12"/>
  <c r="I15" i="12"/>
  <c r="H15" i="12"/>
  <c r="F15" i="12"/>
  <c r="A1" i="12"/>
  <c r="R31" i="7"/>
  <c r="R44" i="7"/>
  <c r="R49" i="7"/>
  <c r="R73" i="7"/>
  <c r="P30" i="10"/>
  <c r="P42" i="10"/>
  <c r="P47" i="10"/>
  <c r="P48" i="10" s="1"/>
  <c r="P70" i="10"/>
  <c r="P72" i="10" s="1"/>
  <c r="P91" i="10"/>
  <c r="R23" i="4"/>
  <c r="R39" i="4"/>
  <c r="R40" i="4" s="1"/>
  <c r="R63" i="4"/>
  <c r="R65" i="4" s="1"/>
  <c r="R66" i="4"/>
  <c r="R32" i="5"/>
  <c r="R44" i="5"/>
  <c r="R48" i="5"/>
  <c r="R72" i="5"/>
  <c r="R79" i="5"/>
  <c r="R90" i="5"/>
  <c r="R33" i="9"/>
  <c r="R46" i="9"/>
  <c r="R51" i="9"/>
  <c r="R75" i="9"/>
  <c r="A1" i="9"/>
  <c r="A1" i="5"/>
  <c r="A1" i="4"/>
  <c r="A1" i="10"/>
  <c r="U31" i="5"/>
  <c r="U30" i="5"/>
  <c r="U29" i="5"/>
  <c r="U28" i="5"/>
  <c r="U25" i="4"/>
  <c r="U19" i="4"/>
  <c r="U20" i="4"/>
  <c r="U21" i="4"/>
  <c r="U22" i="4"/>
  <c r="M34" i="10"/>
  <c r="M27" i="4"/>
  <c r="K27" i="4"/>
  <c r="N29" i="10"/>
  <c r="N28" i="10"/>
  <c r="P33" i="9"/>
  <c r="N32" i="5"/>
  <c r="U32" i="5" s="1"/>
  <c r="P32" i="5"/>
  <c r="N23" i="4"/>
  <c r="P23" i="4"/>
  <c r="L23" i="11"/>
  <c r="L22" i="11"/>
  <c r="P31" i="7"/>
  <c r="M20" i="5"/>
  <c r="M18" i="5"/>
  <c r="T18" i="5" s="1"/>
  <c r="M12" i="5"/>
  <c r="M12" i="4"/>
  <c r="M16" i="7"/>
  <c r="M14" i="7"/>
  <c r="M12" i="7"/>
  <c r="H33" i="9"/>
  <c r="J33" i="9"/>
  <c r="N33" i="9"/>
  <c r="F33" i="9"/>
  <c r="F30" i="7"/>
  <c r="F29" i="7"/>
  <c r="F28" i="7"/>
  <c r="E34" i="10"/>
  <c r="L30" i="10"/>
  <c r="F27" i="10"/>
  <c r="D23" i="11"/>
  <c r="F26" i="10"/>
  <c r="D22" i="11"/>
  <c r="O12" i="4"/>
  <c r="K11" i="11"/>
  <c r="K30" i="11"/>
  <c r="O37" i="9"/>
  <c r="O36" i="5"/>
  <c r="O27" i="4"/>
  <c r="K96" i="11"/>
  <c r="L96" i="11"/>
  <c r="K97" i="11"/>
  <c r="L97" i="11"/>
  <c r="K98" i="11"/>
  <c r="L98" i="11"/>
  <c r="P96" i="9"/>
  <c r="P95" i="9"/>
  <c r="P94" i="9"/>
  <c r="P93" i="9"/>
  <c r="P91" i="9"/>
  <c r="P90" i="9"/>
  <c r="P89" i="9"/>
  <c r="P87" i="9"/>
  <c r="P86" i="9"/>
  <c r="P84" i="9"/>
  <c r="P82" i="9"/>
  <c r="P81" i="9"/>
  <c r="P80" i="9"/>
  <c r="P79" i="9"/>
  <c r="P78" i="9"/>
  <c r="P77" i="9"/>
  <c r="N62" i="9"/>
  <c r="N60" i="7"/>
  <c r="J58" i="11" s="1"/>
  <c r="P41" i="7"/>
  <c r="E13" i="11"/>
  <c r="N12" i="4"/>
  <c r="O18" i="9"/>
  <c r="I30" i="11"/>
  <c r="G30" i="11"/>
  <c r="E30" i="11"/>
  <c r="C30" i="11"/>
  <c r="N63" i="4"/>
  <c r="L63" i="4"/>
  <c r="J63" i="4"/>
  <c r="D72" i="11"/>
  <c r="P73" i="7"/>
  <c r="N70" i="10"/>
  <c r="P63" i="4"/>
  <c r="P72" i="5"/>
  <c r="P75" i="9"/>
  <c r="J71" i="11"/>
  <c r="H71" i="11"/>
  <c r="F71" i="11"/>
  <c r="D71" i="11"/>
  <c r="L71" i="11"/>
  <c r="J70" i="11"/>
  <c r="H70" i="11"/>
  <c r="F70" i="11"/>
  <c r="D70" i="11"/>
  <c r="L70" i="11"/>
  <c r="J68" i="11"/>
  <c r="H68" i="11"/>
  <c r="F68" i="11"/>
  <c r="D68" i="11"/>
  <c r="L68" i="11"/>
  <c r="J67" i="11"/>
  <c r="H67" i="11"/>
  <c r="F67" i="11"/>
  <c r="D67" i="11"/>
  <c r="L67" i="11"/>
  <c r="J98" i="11"/>
  <c r="H98" i="11"/>
  <c r="F98" i="11"/>
  <c r="D98" i="11"/>
  <c r="J97" i="11"/>
  <c r="H97" i="11"/>
  <c r="F97" i="11"/>
  <c r="D97" i="11"/>
  <c r="J96" i="11"/>
  <c r="H96" i="11"/>
  <c r="F96" i="11"/>
  <c r="D96" i="11"/>
  <c r="I98" i="11"/>
  <c r="G98" i="11"/>
  <c r="E98" i="11"/>
  <c r="C98" i="11"/>
  <c r="I97" i="11"/>
  <c r="G97" i="11"/>
  <c r="E97" i="11"/>
  <c r="C97" i="11"/>
  <c r="I96" i="11"/>
  <c r="G96" i="11"/>
  <c r="E96" i="11"/>
  <c r="C96" i="11"/>
  <c r="I88" i="11"/>
  <c r="G88" i="11"/>
  <c r="E88" i="11"/>
  <c r="C88" i="11"/>
  <c r="K88" i="11"/>
  <c r="I86" i="11"/>
  <c r="G86" i="11"/>
  <c r="E86" i="11"/>
  <c r="C86" i="11"/>
  <c r="K86" i="11"/>
  <c r="I87" i="11"/>
  <c r="G87" i="11"/>
  <c r="E87" i="11"/>
  <c r="C87" i="11"/>
  <c r="K87" i="11"/>
  <c r="I84" i="11"/>
  <c r="G84" i="11"/>
  <c r="E84" i="11"/>
  <c r="C84" i="11"/>
  <c r="K84" i="11"/>
  <c r="I83" i="11"/>
  <c r="G83" i="11"/>
  <c r="E83" i="11"/>
  <c r="C83" i="11"/>
  <c r="K83" i="11"/>
  <c r="I93" i="11"/>
  <c r="G93" i="11"/>
  <c r="E93" i="11"/>
  <c r="C93" i="11"/>
  <c r="K93" i="11"/>
  <c r="I92" i="11"/>
  <c r="G92" i="11"/>
  <c r="E92" i="11"/>
  <c r="C92" i="11"/>
  <c r="K92" i="11"/>
  <c r="I91" i="11"/>
  <c r="G91" i="11"/>
  <c r="E91" i="11"/>
  <c r="C91" i="11"/>
  <c r="K91" i="11"/>
  <c r="I90" i="11"/>
  <c r="G90" i="11"/>
  <c r="E90" i="11"/>
  <c r="C90" i="11"/>
  <c r="K90" i="11"/>
  <c r="I81" i="11"/>
  <c r="G81" i="11"/>
  <c r="E81" i="11"/>
  <c r="C81" i="11"/>
  <c r="K81" i="11"/>
  <c r="I79" i="11"/>
  <c r="G79" i="11"/>
  <c r="E79" i="11"/>
  <c r="C79" i="11"/>
  <c r="K79" i="11"/>
  <c r="I78" i="11"/>
  <c r="G78" i="11"/>
  <c r="E78" i="11"/>
  <c r="C78" i="11"/>
  <c r="K78" i="11"/>
  <c r="I77" i="11"/>
  <c r="G77" i="11"/>
  <c r="E77" i="11"/>
  <c r="C77" i="11"/>
  <c r="K77" i="11"/>
  <c r="I76" i="11"/>
  <c r="G76" i="11"/>
  <c r="E76" i="11"/>
  <c r="C76" i="11"/>
  <c r="K76" i="11"/>
  <c r="I75" i="11"/>
  <c r="G75" i="11"/>
  <c r="E75" i="11"/>
  <c r="C75" i="11"/>
  <c r="K75" i="11"/>
  <c r="I74" i="11"/>
  <c r="G74" i="11"/>
  <c r="E74" i="11"/>
  <c r="C74" i="11"/>
  <c r="K74" i="11"/>
  <c r="D58" i="4"/>
  <c r="D63" i="4" s="1"/>
  <c r="F63" i="4"/>
  <c r="D59" i="11"/>
  <c r="K53" i="11"/>
  <c r="K55" i="11" s="1"/>
  <c r="I53" i="11"/>
  <c r="I55" i="11" s="1"/>
  <c r="G53" i="11"/>
  <c r="G55" i="11" s="1"/>
  <c r="E53" i="11"/>
  <c r="E55" i="11" s="1"/>
  <c r="C53" i="11"/>
  <c r="C55" i="11" s="1"/>
  <c r="K49" i="11"/>
  <c r="K51" i="11" s="1"/>
  <c r="I49" i="11"/>
  <c r="I51" i="11" s="1"/>
  <c r="G49" i="11"/>
  <c r="G51" i="11" s="1"/>
  <c r="E49" i="11"/>
  <c r="E51" i="11" s="1"/>
  <c r="C49" i="11"/>
  <c r="C51" i="11" s="1"/>
  <c r="L53" i="11"/>
  <c r="L55" i="11" s="1"/>
  <c r="J53" i="11"/>
  <c r="J55" i="11" s="1"/>
  <c r="H53" i="11"/>
  <c r="H55" i="11" s="1"/>
  <c r="F53" i="11"/>
  <c r="F55" i="11" s="1"/>
  <c r="D53" i="11"/>
  <c r="D55" i="11" s="1"/>
  <c r="L49" i="11"/>
  <c r="J49" i="11"/>
  <c r="J51" i="11" s="1"/>
  <c r="H49" i="11"/>
  <c r="H51" i="11" s="1"/>
  <c r="F49" i="11"/>
  <c r="F51" i="11" s="1"/>
  <c r="D49" i="11"/>
  <c r="D51" i="11" s="1"/>
  <c r="D47" i="11"/>
  <c r="L42" i="4"/>
  <c r="D46" i="11"/>
  <c r="N35" i="4"/>
  <c r="N39" i="4"/>
  <c r="L35" i="4"/>
  <c r="L39" i="4"/>
  <c r="L40" i="4"/>
  <c r="J35" i="4"/>
  <c r="J39" i="4"/>
  <c r="H35" i="4"/>
  <c r="H39" i="4"/>
  <c r="H40" i="4" s="1"/>
  <c r="N42" i="10"/>
  <c r="P46" i="9"/>
  <c r="P44" i="5"/>
  <c r="D42" i="4"/>
  <c r="D35" i="4"/>
  <c r="D39" i="4"/>
  <c r="F35" i="4"/>
  <c r="F39" i="4"/>
  <c r="F40" i="4"/>
  <c r="J30" i="10"/>
  <c r="L23" i="4"/>
  <c r="H30" i="10"/>
  <c r="J23" i="4"/>
  <c r="H23" i="4"/>
  <c r="D30" i="10"/>
  <c r="F32" i="5"/>
  <c r="F23" i="4"/>
  <c r="D23" i="4"/>
  <c r="H15" i="11"/>
  <c r="F15" i="11"/>
  <c r="D15" i="11"/>
  <c r="J14" i="11"/>
  <c r="H14" i="11"/>
  <c r="D14" i="11"/>
  <c r="H13" i="11"/>
  <c r="D13" i="11"/>
  <c r="J13" i="11"/>
  <c r="H12" i="11"/>
  <c r="F12" i="11"/>
  <c r="D12" i="11"/>
  <c r="L12" i="4"/>
  <c r="J12" i="4"/>
  <c r="D11" i="11"/>
  <c r="J11" i="11"/>
  <c r="E15" i="11"/>
  <c r="C15" i="11"/>
  <c r="E14" i="11"/>
  <c r="C14" i="11"/>
  <c r="C13" i="11"/>
  <c r="G12" i="11"/>
  <c r="E12" i="11"/>
  <c r="C12" i="11"/>
  <c r="E11" i="11"/>
  <c r="C11" i="11"/>
  <c r="E12" i="4"/>
  <c r="I37" i="9"/>
  <c r="G37" i="9"/>
  <c r="P51" i="9"/>
  <c r="P52" i="9"/>
  <c r="U97" i="5"/>
  <c r="U96" i="5"/>
  <c r="U95" i="5"/>
  <c r="T97" i="5"/>
  <c r="T96" i="5"/>
  <c r="T95" i="5"/>
  <c r="U81" i="5"/>
  <c r="P92" i="5"/>
  <c r="P90" i="5"/>
  <c r="U88" i="5"/>
  <c r="P86" i="5"/>
  <c r="U84" i="5"/>
  <c r="P82" i="5"/>
  <c r="P79" i="5"/>
  <c r="U79" i="5" s="1"/>
  <c r="P77" i="5"/>
  <c r="P75" i="5"/>
  <c r="U75" i="5" s="1"/>
  <c r="T92" i="5"/>
  <c r="T91" i="5"/>
  <c r="T90" i="5"/>
  <c r="T89" i="5"/>
  <c r="T87" i="5"/>
  <c r="T86" i="5"/>
  <c r="T85" i="5"/>
  <c r="T83" i="5"/>
  <c r="T82" i="5"/>
  <c r="T80" i="5"/>
  <c r="T79" i="5"/>
  <c r="T78" i="5"/>
  <c r="T77" i="5"/>
  <c r="T76" i="5"/>
  <c r="T75" i="5"/>
  <c r="T74" i="5"/>
  <c r="U71" i="5"/>
  <c r="U70" i="5"/>
  <c r="U68" i="5"/>
  <c r="U67" i="5"/>
  <c r="U60" i="5"/>
  <c r="U59" i="5"/>
  <c r="U56" i="5"/>
  <c r="U54" i="5"/>
  <c r="T56" i="5"/>
  <c r="T54" i="5"/>
  <c r="U43" i="5"/>
  <c r="U42" i="5"/>
  <c r="I36" i="5"/>
  <c r="M36" i="5"/>
  <c r="U35" i="5"/>
  <c r="U34" i="5"/>
  <c r="U20" i="5"/>
  <c r="U18" i="5"/>
  <c r="U16" i="5"/>
  <c r="U14" i="5"/>
  <c r="U13" i="5"/>
  <c r="T12" i="5"/>
  <c r="T20" i="5"/>
  <c r="T14" i="5"/>
  <c r="T13" i="5"/>
  <c r="P48" i="5"/>
  <c r="P49" i="5" s="1"/>
  <c r="U88" i="4"/>
  <c r="U87" i="4"/>
  <c r="U86" i="4"/>
  <c r="T88" i="4"/>
  <c r="T87" i="4"/>
  <c r="T86" i="4"/>
  <c r="P83" i="4"/>
  <c r="N83" i="4"/>
  <c r="J83" i="4"/>
  <c r="H83" i="4"/>
  <c r="P82" i="4"/>
  <c r="N82" i="4"/>
  <c r="L82" i="4"/>
  <c r="J82" i="4"/>
  <c r="H82" i="4"/>
  <c r="P81" i="4"/>
  <c r="N81" i="4"/>
  <c r="J81" i="4"/>
  <c r="H81" i="4"/>
  <c r="P78" i="4"/>
  <c r="N78" i="4"/>
  <c r="L78" i="4"/>
  <c r="J78" i="4"/>
  <c r="H78" i="4"/>
  <c r="P77" i="4"/>
  <c r="N77" i="4"/>
  <c r="J77" i="4"/>
  <c r="H77" i="4"/>
  <c r="P76" i="4"/>
  <c r="N76" i="4"/>
  <c r="L76" i="4"/>
  <c r="J76" i="4"/>
  <c r="H76" i="4"/>
  <c r="P74" i="4"/>
  <c r="N74" i="4"/>
  <c r="J74" i="4"/>
  <c r="H74" i="4"/>
  <c r="P73" i="4"/>
  <c r="N73" i="4"/>
  <c r="L73" i="4"/>
  <c r="J73" i="4"/>
  <c r="H73" i="4"/>
  <c r="P71" i="4"/>
  <c r="N71" i="4"/>
  <c r="J71" i="4"/>
  <c r="H71" i="4"/>
  <c r="P70" i="4"/>
  <c r="N70" i="4"/>
  <c r="L70" i="4"/>
  <c r="J70" i="4"/>
  <c r="H70" i="4"/>
  <c r="P69" i="4"/>
  <c r="N69" i="4"/>
  <c r="J69" i="4"/>
  <c r="H69" i="4"/>
  <c r="P68" i="4"/>
  <c r="N68" i="4"/>
  <c r="L68" i="4"/>
  <c r="U68" i="4" s="1"/>
  <c r="J68" i="4"/>
  <c r="H68" i="4"/>
  <c r="P67" i="4"/>
  <c r="N67" i="4"/>
  <c r="J67" i="4"/>
  <c r="H67" i="4"/>
  <c r="P66" i="4"/>
  <c r="N66" i="4"/>
  <c r="L66" i="4"/>
  <c r="J66" i="4"/>
  <c r="H66" i="4"/>
  <c r="U66" i="4" s="1"/>
  <c r="P65" i="4"/>
  <c r="N65" i="4"/>
  <c r="J65" i="4"/>
  <c r="H65" i="4"/>
  <c r="U63" i="4"/>
  <c r="U62" i="4"/>
  <c r="U61" i="4"/>
  <c r="U59" i="4"/>
  <c r="U58" i="4"/>
  <c r="U51" i="4"/>
  <c r="U50" i="4"/>
  <c r="U47" i="4"/>
  <c r="U45" i="4"/>
  <c r="T47" i="4"/>
  <c r="U42" i="4"/>
  <c r="U35" i="4"/>
  <c r="U34" i="4"/>
  <c r="U33" i="4"/>
  <c r="I27" i="4"/>
  <c r="G27" i="4"/>
  <c r="U27" i="4" s="1"/>
  <c r="U26" i="4"/>
  <c r="U13" i="4"/>
  <c r="U12" i="4"/>
  <c r="T13" i="4"/>
  <c r="T12" i="4"/>
  <c r="P80" i="4"/>
  <c r="N89" i="10"/>
  <c r="N77" i="10"/>
  <c r="N47" i="10"/>
  <c r="P77" i="7"/>
  <c r="P82" i="7"/>
  <c r="P84" i="7"/>
  <c r="P88" i="7"/>
  <c r="P92" i="7"/>
  <c r="P49" i="7"/>
  <c r="M37" i="9"/>
  <c r="G35" i="7"/>
  <c r="E35" i="7"/>
  <c r="C35" i="7"/>
  <c r="K34" i="10"/>
  <c r="I34" i="10"/>
  <c r="E37" i="9"/>
  <c r="K37" i="9"/>
  <c r="C37" i="9"/>
  <c r="E36" i="5"/>
  <c r="G36" i="5"/>
  <c r="K36" i="5"/>
  <c r="C36" i="5"/>
  <c r="E27" i="4"/>
  <c r="C27" i="4"/>
  <c r="G34" i="10"/>
  <c r="C34" i="10"/>
  <c r="E12" i="7"/>
  <c r="E14" i="7"/>
  <c r="C114" i="5"/>
  <c r="C112" i="5"/>
  <c r="C110" i="5"/>
  <c r="C105" i="5"/>
  <c r="L27" i="7"/>
  <c r="L28" i="7"/>
  <c r="J31" i="7"/>
  <c r="F26" i="11"/>
  <c r="H31" i="7"/>
  <c r="D31" i="7"/>
  <c r="N96" i="9"/>
  <c r="L96" i="9"/>
  <c r="J96" i="9"/>
  <c r="N95" i="9"/>
  <c r="L95" i="9"/>
  <c r="J95" i="9"/>
  <c r="N94" i="9"/>
  <c r="L94" i="9"/>
  <c r="J94" i="9"/>
  <c r="N93" i="9"/>
  <c r="L93" i="9"/>
  <c r="J93" i="9"/>
  <c r="N91" i="9"/>
  <c r="L91" i="9"/>
  <c r="J91" i="9"/>
  <c r="N90" i="9"/>
  <c r="L90" i="9"/>
  <c r="J90" i="9"/>
  <c r="N89" i="9"/>
  <c r="L89" i="9"/>
  <c r="J89" i="9"/>
  <c r="N87" i="9"/>
  <c r="L87" i="9"/>
  <c r="J87" i="9"/>
  <c r="N86" i="9"/>
  <c r="L86" i="9"/>
  <c r="J86" i="9"/>
  <c r="N84" i="9"/>
  <c r="L84" i="9"/>
  <c r="J84" i="9"/>
  <c r="N82" i="9"/>
  <c r="L82" i="9"/>
  <c r="J82" i="9"/>
  <c r="N81" i="9"/>
  <c r="L81" i="9"/>
  <c r="J81" i="9"/>
  <c r="N80" i="9"/>
  <c r="L80" i="9"/>
  <c r="J80" i="9"/>
  <c r="N79" i="9"/>
  <c r="L79" i="9"/>
  <c r="J79" i="9"/>
  <c r="N78" i="9"/>
  <c r="L78" i="9"/>
  <c r="J78" i="9"/>
  <c r="N77" i="9"/>
  <c r="L77" i="9"/>
  <c r="J77" i="9"/>
  <c r="N75" i="9"/>
  <c r="L75" i="9"/>
  <c r="J75" i="9"/>
  <c r="L54" i="9"/>
  <c r="N46" i="9"/>
  <c r="N51" i="9"/>
  <c r="N52" i="9" s="1"/>
  <c r="L46" i="9"/>
  <c r="L51" i="9"/>
  <c r="L52" i="9" s="1"/>
  <c r="J46" i="9"/>
  <c r="J51" i="9"/>
  <c r="L30" i="9"/>
  <c r="H23" i="11" s="1"/>
  <c r="L31" i="9"/>
  <c r="L32" i="9"/>
  <c r="H25" i="11" s="1"/>
  <c r="L70" i="10"/>
  <c r="J70" i="10"/>
  <c r="J86" i="10" s="1"/>
  <c r="H70" i="10"/>
  <c r="H86" i="10" s="1"/>
  <c r="F91" i="10"/>
  <c r="D70" i="10"/>
  <c r="F90" i="10"/>
  <c r="F89" i="10"/>
  <c r="F88" i="10"/>
  <c r="F86" i="10"/>
  <c r="F85" i="10"/>
  <c r="F84" i="10"/>
  <c r="F82" i="10"/>
  <c r="F81" i="10"/>
  <c r="F79" i="10"/>
  <c r="F77" i="10"/>
  <c r="F76" i="10"/>
  <c r="H75" i="10"/>
  <c r="F75" i="10"/>
  <c r="F74" i="10"/>
  <c r="F73" i="10"/>
  <c r="F72" i="10"/>
  <c r="J58" i="10"/>
  <c r="H58" i="10"/>
  <c r="J51" i="10"/>
  <c r="H47" i="11"/>
  <c r="J50" i="10"/>
  <c r="L42" i="10"/>
  <c r="L47" i="10"/>
  <c r="J42" i="10"/>
  <c r="J47" i="10"/>
  <c r="H42" i="10"/>
  <c r="H47" i="10"/>
  <c r="F42" i="10"/>
  <c r="F47" i="10"/>
  <c r="F48" i="10"/>
  <c r="D42" i="10"/>
  <c r="D47" i="10"/>
  <c r="N73" i="7"/>
  <c r="L73" i="7"/>
  <c r="L85" i="7" s="1"/>
  <c r="J73" i="7"/>
  <c r="J87" i="7"/>
  <c r="H94" i="7"/>
  <c r="F73" i="7"/>
  <c r="H93" i="7"/>
  <c r="N92" i="7"/>
  <c r="H92" i="7"/>
  <c r="H91" i="7"/>
  <c r="H89" i="7"/>
  <c r="N88" i="7"/>
  <c r="H88" i="7"/>
  <c r="H87" i="7"/>
  <c r="H85" i="7"/>
  <c r="J84" i="7"/>
  <c r="H84" i="7"/>
  <c r="H82" i="7"/>
  <c r="J80" i="7"/>
  <c r="H80" i="7"/>
  <c r="H79" i="7"/>
  <c r="J78" i="7"/>
  <c r="H78" i="7"/>
  <c r="H77" i="7"/>
  <c r="J76" i="7"/>
  <c r="H76" i="7"/>
  <c r="H75" i="7"/>
  <c r="F61" i="7"/>
  <c r="D61" i="7"/>
  <c r="L60" i="7"/>
  <c r="J60" i="7"/>
  <c r="F58" i="11" s="1"/>
  <c r="H60" i="7"/>
  <c r="D58" i="11" s="1"/>
  <c r="F60" i="7"/>
  <c r="D60" i="7"/>
  <c r="F55" i="7"/>
  <c r="L52" i="7"/>
  <c r="F52" i="7"/>
  <c r="D52" i="7"/>
  <c r="N41" i="7"/>
  <c r="N44" i="7" s="1"/>
  <c r="N49" i="7"/>
  <c r="L41" i="7"/>
  <c r="L49" i="7"/>
  <c r="J41" i="7"/>
  <c r="J49" i="7"/>
  <c r="F43" i="11" s="1"/>
  <c r="H41" i="7"/>
  <c r="D35" i="11" s="1"/>
  <c r="H43" i="7"/>
  <c r="D37" i="11" s="1"/>
  <c r="H49" i="7"/>
  <c r="F41" i="7"/>
  <c r="F43" i="7"/>
  <c r="F44" i="7" s="1"/>
  <c r="F50" i="7" s="1"/>
  <c r="F49" i="7"/>
  <c r="F13" i="11"/>
  <c r="D96" i="9"/>
  <c r="D95" i="9"/>
  <c r="D94" i="9"/>
  <c r="D93" i="9"/>
  <c r="D91" i="9"/>
  <c r="D90" i="9"/>
  <c r="D89" i="9"/>
  <c r="D87" i="9"/>
  <c r="D86" i="9"/>
  <c r="D84" i="9"/>
  <c r="D82" i="9"/>
  <c r="D81" i="9"/>
  <c r="D80" i="9"/>
  <c r="D79" i="9"/>
  <c r="D78" i="9"/>
  <c r="D77" i="9"/>
  <c r="L51" i="5"/>
  <c r="U51" i="5" s="1"/>
  <c r="M16" i="5"/>
  <c r="I11" i="11" s="1"/>
  <c r="N72" i="5"/>
  <c r="N89" i="5" s="1"/>
  <c r="N74" i="5"/>
  <c r="N44" i="5"/>
  <c r="N48" i="5"/>
  <c r="N49" i="5" s="1"/>
  <c r="N80" i="4"/>
  <c r="L12" i="5"/>
  <c r="U12" i="5" s="1"/>
  <c r="J12" i="5"/>
  <c r="D12" i="5"/>
  <c r="D31" i="5"/>
  <c r="D30" i="5"/>
  <c r="D29" i="5"/>
  <c r="D51" i="5"/>
  <c r="L80" i="4"/>
  <c r="L72" i="5"/>
  <c r="L92" i="5" s="1"/>
  <c r="L91" i="5"/>
  <c r="L86" i="5"/>
  <c r="L80" i="5"/>
  <c r="L76" i="5"/>
  <c r="L44" i="5"/>
  <c r="L48" i="5"/>
  <c r="L49" i="5"/>
  <c r="L32" i="5"/>
  <c r="J72" i="5"/>
  <c r="J44" i="5"/>
  <c r="J48" i="5"/>
  <c r="J49" i="5"/>
  <c r="J32" i="5"/>
  <c r="J80" i="4"/>
  <c r="H32" i="5"/>
  <c r="H92" i="5"/>
  <c r="H91" i="5"/>
  <c r="H90" i="5"/>
  <c r="H89" i="5"/>
  <c r="H87" i="5"/>
  <c r="H86" i="5"/>
  <c r="H85" i="5"/>
  <c r="H83" i="5"/>
  <c r="H82" i="5"/>
  <c r="H80" i="5"/>
  <c r="H79" i="5"/>
  <c r="H78" i="5"/>
  <c r="H77" i="5"/>
  <c r="H76" i="5"/>
  <c r="H75" i="5"/>
  <c r="H74" i="5"/>
  <c r="H80" i="4"/>
  <c r="D41" i="7"/>
  <c r="H48" i="5"/>
  <c r="H44" i="5"/>
  <c r="H49" i="5"/>
  <c r="D73" i="7"/>
  <c r="D80" i="7" s="1"/>
  <c r="D49" i="7"/>
  <c r="F74" i="4"/>
  <c r="F65" i="4"/>
  <c r="F72" i="5"/>
  <c r="F92" i="5"/>
  <c r="F91" i="5"/>
  <c r="F86" i="5"/>
  <c r="F80" i="5"/>
  <c r="F76" i="5"/>
  <c r="D72" i="5"/>
  <c r="D74" i="5"/>
  <c r="D75" i="5"/>
  <c r="D77" i="5"/>
  <c r="D79" i="5"/>
  <c r="D82" i="5"/>
  <c r="D85" i="5"/>
  <c r="D87" i="5"/>
  <c r="D90" i="5"/>
  <c r="D92" i="5"/>
  <c r="F44" i="5"/>
  <c r="F48" i="5"/>
  <c r="F49" i="5" s="1"/>
  <c r="D44" i="5"/>
  <c r="D48" i="5"/>
  <c r="D49" i="5" s="1"/>
  <c r="D32" i="5"/>
  <c r="R74" i="4"/>
  <c r="R71" i="4"/>
  <c r="R69" i="4"/>
  <c r="R67" i="4"/>
  <c r="D33" i="9"/>
  <c r="F72" i="11"/>
  <c r="J72" i="11"/>
  <c r="N89" i="7"/>
  <c r="N87" i="7"/>
  <c r="F77" i="5"/>
  <c r="F82" i="5"/>
  <c r="F87" i="5"/>
  <c r="D93" i="7"/>
  <c r="D82" i="7"/>
  <c r="J75" i="5"/>
  <c r="J79" i="5"/>
  <c r="J85" i="5"/>
  <c r="J90" i="5"/>
  <c r="U90" i="5" s="1"/>
  <c r="N75" i="5"/>
  <c r="N77" i="5"/>
  <c r="N79" i="5"/>
  <c r="N82" i="5"/>
  <c r="N85" i="5"/>
  <c r="N87" i="5"/>
  <c r="N90" i="5"/>
  <c r="N92" i="5"/>
  <c r="F14" i="11"/>
  <c r="J75" i="7"/>
  <c r="N75" i="7"/>
  <c r="J77" i="7"/>
  <c r="N77" i="7"/>
  <c r="J79" i="7"/>
  <c r="N79" i="7"/>
  <c r="J82" i="7"/>
  <c r="N82" i="7"/>
  <c r="J85" i="7"/>
  <c r="N85" i="7"/>
  <c r="L87" i="7"/>
  <c r="J89" i="7"/>
  <c r="J91" i="7"/>
  <c r="N91" i="7"/>
  <c r="J93" i="7"/>
  <c r="N93" i="7"/>
  <c r="J94" i="7"/>
  <c r="N94" i="7"/>
  <c r="J85" i="10"/>
  <c r="H91" i="10"/>
  <c r="H90" i="10"/>
  <c r="H88" i="10"/>
  <c r="H85" i="10"/>
  <c r="H82" i="10"/>
  <c r="L91" i="10"/>
  <c r="L90" i="10"/>
  <c r="L88" i="10"/>
  <c r="L85" i="10"/>
  <c r="L82" i="10"/>
  <c r="L79" i="10"/>
  <c r="L31" i="7"/>
  <c r="C115" i="5"/>
  <c r="F11" i="11"/>
  <c r="U48" i="5"/>
  <c r="N30" i="10"/>
  <c r="J48" i="10"/>
  <c r="F30" i="10"/>
  <c r="L89" i="7"/>
  <c r="D48" i="10"/>
  <c r="D74" i="10"/>
  <c r="H74" i="10"/>
  <c r="D84" i="10"/>
  <c r="H84" i="10"/>
  <c r="F85" i="7"/>
  <c r="F88" i="7"/>
  <c r="J88" i="7"/>
  <c r="F89" i="7"/>
  <c r="F92" i="7"/>
  <c r="J92" i="7"/>
  <c r="F93" i="7"/>
  <c r="H48" i="10"/>
  <c r="D79" i="10"/>
  <c r="H79" i="10"/>
  <c r="D85" i="10"/>
  <c r="R50" i="7"/>
  <c r="L80" i="7"/>
  <c r="H44" i="7"/>
  <c r="H50" i="7" s="1"/>
  <c r="D44" i="11" s="1"/>
  <c r="D75" i="7"/>
  <c r="D79" i="7"/>
  <c r="D85" i="7"/>
  <c r="D91" i="7"/>
  <c r="D44" i="7"/>
  <c r="D92" i="7"/>
  <c r="D91" i="10"/>
  <c r="D90" i="10"/>
  <c r="D89" i="10"/>
  <c r="D82" i="10"/>
  <c r="D81" i="10"/>
  <c r="D77" i="10"/>
  <c r="D76" i="10"/>
  <c r="D73" i="10"/>
  <c r="D72" i="10"/>
  <c r="H89" i="10"/>
  <c r="H81" i="10"/>
  <c r="H77" i="10"/>
  <c r="H76" i="10"/>
  <c r="H73" i="10"/>
  <c r="H72" i="10"/>
  <c r="L86" i="10"/>
  <c r="L84" i="10"/>
  <c r="L77" i="10"/>
  <c r="L74" i="10"/>
  <c r="L73" i="10"/>
  <c r="N75" i="10"/>
  <c r="N81" i="10"/>
  <c r="N86" i="10"/>
  <c r="N90" i="10"/>
  <c r="N88" i="10"/>
  <c r="N85" i="10"/>
  <c r="N82" i="10"/>
  <c r="N79" i="10"/>
  <c r="N76" i="10"/>
  <c r="N74" i="10"/>
  <c r="N72" i="10"/>
  <c r="F31" i="7"/>
  <c r="H72" i="11"/>
  <c r="L82" i="7"/>
  <c r="L77" i="7"/>
  <c r="L72" i="11"/>
  <c r="P76" i="7"/>
  <c r="P78" i="7"/>
  <c r="P80" i="7"/>
  <c r="P85" i="7"/>
  <c r="P87" i="7"/>
  <c r="P89" i="7"/>
  <c r="P91" i="7"/>
  <c r="P93" i="7"/>
  <c r="P75" i="7"/>
  <c r="P44" i="7"/>
  <c r="L38" i="11"/>
  <c r="L94" i="7"/>
  <c r="L92" i="7"/>
  <c r="L88" i="7"/>
  <c r="L84" i="7"/>
  <c r="L78" i="7"/>
  <c r="L76" i="7"/>
  <c r="D76" i="7"/>
  <c r="D87" i="7"/>
  <c r="L79" i="7"/>
  <c r="P94" i="7"/>
  <c r="P79" i="7"/>
  <c r="P50" i="7"/>
  <c r="D94" i="7"/>
  <c r="D89" i="7"/>
  <c r="D84" i="7"/>
  <c r="D78" i="7"/>
  <c r="N50" i="7"/>
  <c r="F87" i="7"/>
  <c r="F91" i="7"/>
  <c r="L91" i="7"/>
  <c r="D50" i="7"/>
  <c r="P119" i="9"/>
  <c r="P74" i="10"/>
  <c r="P76" i="10"/>
  <c r="P79" i="10"/>
  <c r="P82" i="10"/>
  <c r="P85" i="10"/>
  <c r="P88" i="10"/>
  <c r="P90" i="10"/>
  <c r="P78" i="10"/>
  <c r="P73" i="10"/>
  <c r="P75" i="10"/>
  <c r="P77" i="10"/>
  <c r="P81" i="10"/>
  <c r="P84" i="10"/>
  <c r="P86" i="10"/>
  <c r="P89" i="10"/>
  <c r="R76" i="7"/>
  <c r="R78" i="7"/>
  <c r="R80" i="7"/>
  <c r="R84" i="7"/>
  <c r="R87" i="7"/>
  <c r="R89" i="7"/>
  <c r="R92" i="7"/>
  <c r="R94" i="7"/>
  <c r="R75" i="7"/>
  <c r="R77" i="7"/>
  <c r="R79" i="7"/>
  <c r="R82" i="7"/>
  <c r="R85" i="7"/>
  <c r="R88" i="7"/>
  <c r="R91" i="7"/>
  <c r="R93" i="7"/>
  <c r="F90" i="5"/>
  <c r="F85" i="5"/>
  <c r="F79" i="5"/>
  <c r="F75" i="5"/>
  <c r="D91" i="5"/>
  <c r="D89" i="5"/>
  <c r="D86" i="5"/>
  <c r="D83" i="5"/>
  <c r="D80" i="5"/>
  <c r="D78" i="5"/>
  <c r="D76" i="5"/>
  <c r="F74" i="5"/>
  <c r="F78" i="5"/>
  <c r="F83" i="5"/>
  <c r="F89" i="5"/>
  <c r="J74" i="5"/>
  <c r="J78" i="5"/>
  <c r="J83" i="5"/>
  <c r="J89" i="5"/>
  <c r="N76" i="5"/>
  <c r="N80" i="5"/>
  <c r="N84" i="7"/>
  <c r="N80" i="7"/>
  <c r="N78" i="7"/>
  <c r="N76" i="7"/>
  <c r="L48" i="10"/>
  <c r="D86" i="10"/>
  <c r="D88" i="10"/>
  <c r="D75" i="10"/>
  <c r="J88" i="10"/>
  <c r="N91" i="5"/>
  <c r="N86" i="5"/>
  <c r="L81" i="10"/>
  <c r="L89" i="10"/>
  <c r="L76" i="10"/>
  <c r="L75" i="10"/>
  <c r="L72" i="10"/>
  <c r="H24" i="11"/>
  <c r="H22" i="11"/>
  <c r="N72" i="11"/>
  <c r="N84" i="12"/>
  <c r="N86" i="12"/>
  <c r="N88" i="12"/>
  <c r="N90" i="12"/>
  <c r="N93" i="12"/>
  <c r="N96" i="12"/>
  <c r="N99" i="12"/>
  <c r="N101" i="12"/>
  <c r="N83" i="12"/>
  <c r="N85" i="12"/>
  <c r="N87" i="12"/>
  <c r="N89" i="12"/>
  <c r="N92" i="12"/>
  <c r="N95" i="12"/>
  <c r="N97" i="12"/>
  <c r="N100" i="12"/>
  <c r="N102" i="12"/>
  <c r="J35" i="11"/>
  <c r="R82" i="4"/>
  <c r="R80" i="4"/>
  <c r="R77" i="4"/>
  <c r="R73" i="4"/>
  <c r="R68" i="4"/>
  <c r="R81" i="7"/>
  <c r="D65" i="4"/>
  <c r="D67" i="4"/>
  <c r="D69" i="4"/>
  <c r="D71" i="4"/>
  <c r="D74" i="4"/>
  <c r="D77" i="4"/>
  <c r="D80" i="4"/>
  <c r="D82" i="4"/>
  <c r="D66" i="4"/>
  <c r="D68" i="4"/>
  <c r="D70" i="4"/>
  <c r="D73" i="4"/>
  <c r="D76" i="4"/>
  <c r="D78" i="4"/>
  <c r="D81" i="4"/>
  <c r="D83" i="4"/>
  <c r="I112" i="7"/>
  <c r="K15" i="11"/>
  <c r="H58" i="11"/>
  <c r="H46" i="11"/>
  <c r="J80" i="5"/>
  <c r="J91" i="5"/>
  <c r="N78" i="5"/>
  <c r="F82" i="7"/>
  <c r="F84" i="7"/>
  <c r="L75" i="5"/>
  <c r="L77" i="5"/>
  <c r="L79" i="5"/>
  <c r="L82" i="5"/>
  <c r="L85" i="5"/>
  <c r="L87" i="5"/>
  <c r="L90" i="5"/>
  <c r="L75" i="7"/>
  <c r="L93" i="7"/>
  <c r="I107" i="7"/>
  <c r="I117" i="7" s="1"/>
  <c r="R91" i="5"/>
  <c r="R89" i="5"/>
  <c r="R86" i="5"/>
  <c r="R83" i="5"/>
  <c r="R80" i="5"/>
  <c r="R78" i="5"/>
  <c r="R76" i="5"/>
  <c r="R83" i="4"/>
  <c r="R78" i="4"/>
  <c r="R70" i="4"/>
  <c r="R76" i="4"/>
  <c r="R59" i="12"/>
  <c r="R99" i="12"/>
  <c r="R93" i="12"/>
  <c r="R102" i="12"/>
  <c r="R100" i="12"/>
  <c r="R97" i="12"/>
  <c r="R95" i="12"/>
  <c r="R90" i="12"/>
  <c r="R88" i="12"/>
  <c r="R86" i="12"/>
  <c r="R92" i="12"/>
  <c r="R89" i="12"/>
  <c r="R87" i="12"/>
  <c r="R84" i="12"/>
  <c r="R85" i="12"/>
  <c r="V80" i="7"/>
  <c r="V78" i="7"/>
  <c r="V76" i="7"/>
  <c r="V92" i="7"/>
  <c r="V89" i="7"/>
  <c r="V87" i="7"/>
  <c r="V84" i="7"/>
  <c r="V81" i="7"/>
  <c r="V79" i="7"/>
  <c r="V77" i="7"/>
  <c r="V75" i="7"/>
  <c r="L115" i="12"/>
  <c r="P92" i="12"/>
  <c r="P97" i="12"/>
  <c r="R101" i="12"/>
  <c r="X49" i="11" l="1"/>
  <c r="Y46" i="11"/>
  <c r="Y49" i="11"/>
  <c r="Y96" i="11"/>
  <c r="X53" i="11"/>
  <c r="Y53" i="11"/>
  <c r="Y97" i="11"/>
  <c r="Y68" i="11"/>
  <c r="Y67" i="11"/>
  <c r="Y13" i="11"/>
  <c r="X98" i="11"/>
  <c r="X11" i="11"/>
  <c r="Y24" i="11"/>
  <c r="Y11" i="11"/>
  <c r="X97" i="11"/>
  <c r="Y25" i="11"/>
  <c r="Y14" i="11"/>
  <c r="Q74" i="11"/>
  <c r="R76" i="11" s="1"/>
  <c r="X83" i="12"/>
  <c r="T26" i="11"/>
  <c r="X96" i="11"/>
  <c r="H43" i="11"/>
  <c r="O86" i="11"/>
  <c r="X86" i="11" s="1"/>
  <c r="T84" i="12"/>
  <c r="Y84" i="12" s="1"/>
  <c r="Y81" i="12"/>
  <c r="Y22" i="11"/>
  <c r="Y35" i="11"/>
  <c r="Y40" i="12"/>
  <c r="O93" i="11"/>
  <c r="X93" i="11" s="1"/>
  <c r="P38" i="11"/>
  <c r="L43" i="11"/>
  <c r="X15" i="11"/>
  <c r="Y71" i="11"/>
  <c r="Y37" i="11"/>
  <c r="X14" i="11"/>
  <c r="X44" i="12"/>
  <c r="Y15" i="11"/>
  <c r="L122" i="12"/>
  <c r="O76" i="11"/>
  <c r="X76" i="11" s="1"/>
  <c r="Y53" i="12"/>
  <c r="Y98" i="11"/>
  <c r="X91" i="11"/>
  <c r="X80" i="11"/>
  <c r="Y70" i="11"/>
  <c r="Y36" i="11"/>
  <c r="D88" i="11"/>
  <c r="D86" i="11"/>
  <c r="J91" i="11"/>
  <c r="U49" i="5"/>
  <c r="F35" i="11"/>
  <c r="J44" i="7"/>
  <c r="H11" i="11"/>
  <c r="U23" i="4"/>
  <c r="U44" i="5"/>
  <c r="N48" i="10"/>
  <c r="F83" i="4"/>
  <c r="F81" i="4"/>
  <c r="F78" i="4"/>
  <c r="F76" i="4"/>
  <c r="F73" i="4"/>
  <c r="F70" i="4"/>
  <c r="F68" i="4"/>
  <c r="F66" i="4"/>
  <c r="F82" i="4"/>
  <c r="F77" i="4"/>
  <c r="F71" i="4"/>
  <c r="F67" i="4"/>
  <c r="N43" i="11"/>
  <c r="N59" i="12"/>
  <c r="N44" i="11" s="1"/>
  <c r="N38" i="11"/>
  <c r="J59" i="12"/>
  <c r="J44" i="11" s="1"/>
  <c r="O13" i="11"/>
  <c r="X13" i="11" s="1"/>
  <c r="P85" i="12"/>
  <c r="P102" i="12"/>
  <c r="P84" i="12"/>
  <c r="P90" i="12"/>
  <c r="P100" i="12"/>
  <c r="P95" i="12"/>
  <c r="P87" i="12"/>
  <c r="L24" i="11"/>
  <c r="J77" i="10"/>
  <c r="D38" i="11"/>
  <c r="L44" i="11"/>
  <c r="L33" i="9"/>
  <c r="H26" i="11" s="1"/>
  <c r="J72" i="10"/>
  <c r="T16" i="5"/>
  <c r="F69" i="4"/>
  <c r="F80" i="4"/>
  <c r="E115" i="11"/>
  <c r="P96" i="12"/>
  <c r="O75" i="11"/>
  <c r="X75" i="11" s="1"/>
  <c r="T76" i="7"/>
  <c r="T79" i="7"/>
  <c r="O78" i="11"/>
  <c r="X78" i="11" s="1"/>
  <c r="T81" i="7"/>
  <c r="O87" i="11"/>
  <c r="X87" i="11" s="1"/>
  <c r="T75" i="7"/>
  <c r="O74" i="11"/>
  <c r="T84" i="7"/>
  <c r="O83" i="11"/>
  <c r="X83" i="11" s="1"/>
  <c r="T87" i="7"/>
  <c r="O90" i="11"/>
  <c r="X90" i="11" s="1"/>
  <c r="T91" i="7"/>
  <c r="O92" i="11"/>
  <c r="X92" i="11" s="1"/>
  <c r="P88" i="12"/>
  <c r="P101" i="12"/>
  <c r="P83" i="12"/>
  <c r="P89" i="12"/>
  <c r="P93" i="12"/>
  <c r="P99" i="12"/>
  <c r="R73" i="10"/>
  <c r="O77" i="11"/>
  <c r="X77" i="11" s="1"/>
  <c r="O79" i="11"/>
  <c r="X79" i="11" s="1"/>
  <c r="R77" i="10"/>
  <c r="O81" i="11"/>
  <c r="X81" i="11" s="1"/>
  <c r="R72" i="10"/>
  <c r="O84" i="11"/>
  <c r="X84" i="11" s="1"/>
  <c r="R82" i="10"/>
  <c r="R86" i="10"/>
  <c r="O88" i="11"/>
  <c r="X88" i="11" s="1"/>
  <c r="R89" i="10"/>
  <c r="T80" i="9"/>
  <c r="T84" i="9"/>
  <c r="T96" i="9"/>
  <c r="T83" i="9"/>
  <c r="T81" i="9"/>
  <c r="T79" i="9"/>
  <c r="T77" i="9"/>
  <c r="T95" i="9"/>
  <c r="T90" i="9"/>
  <c r="T86" i="9"/>
  <c r="T89" i="9"/>
  <c r="T91" i="9"/>
  <c r="T94" i="9"/>
  <c r="P58" i="11"/>
  <c r="H35" i="11"/>
  <c r="L44" i="7"/>
  <c r="J75" i="10"/>
  <c r="J89" i="10"/>
  <c r="J84" i="10"/>
  <c r="J74" i="10"/>
  <c r="J79" i="10"/>
  <c r="J91" i="10"/>
  <c r="J81" i="10"/>
  <c r="J76" i="10"/>
  <c r="J90" i="10"/>
  <c r="J82" i="10"/>
  <c r="J73" i="10"/>
  <c r="J92" i="5"/>
  <c r="J86" i="5"/>
  <c r="U86" i="5" s="1"/>
  <c r="J77" i="5"/>
  <c r="U77" i="5" s="1"/>
  <c r="J82" i="5"/>
  <c r="U82" i="5" s="1"/>
  <c r="J87" i="5"/>
  <c r="F94" i="7"/>
  <c r="F78" i="7"/>
  <c r="F77" i="7"/>
  <c r="J40" i="4"/>
  <c r="U39" i="4"/>
  <c r="P91" i="5"/>
  <c r="U91" i="5" s="1"/>
  <c r="P89" i="5"/>
  <c r="P87" i="5"/>
  <c r="U87" i="5" s="1"/>
  <c r="P85" i="5"/>
  <c r="U85" i="5" s="1"/>
  <c r="P83" i="5"/>
  <c r="P80" i="5"/>
  <c r="U80" i="5" s="1"/>
  <c r="P78" i="5"/>
  <c r="P76" i="5"/>
  <c r="P74" i="5"/>
  <c r="N91" i="10"/>
  <c r="N84" i="10"/>
  <c r="N73" i="10"/>
  <c r="L83" i="4"/>
  <c r="L81" i="4"/>
  <c r="L77" i="4"/>
  <c r="L74" i="4"/>
  <c r="L71" i="4"/>
  <c r="L69" i="4"/>
  <c r="L67" i="4"/>
  <c r="U67" i="4" s="1"/>
  <c r="L65" i="4"/>
  <c r="R52" i="9"/>
  <c r="R74" i="5"/>
  <c r="R75" i="5"/>
  <c r="R85" i="5"/>
  <c r="J26" i="11"/>
  <c r="C117" i="7"/>
  <c r="P43" i="11"/>
  <c r="R48" i="10"/>
  <c r="P44" i="11" s="1"/>
  <c r="T94" i="7"/>
  <c r="T92" i="7"/>
  <c r="T89" i="7"/>
  <c r="T77" i="7"/>
  <c r="R91" i="10"/>
  <c r="R84" i="10"/>
  <c r="R81" i="10"/>
  <c r="R78" i="10"/>
  <c r="R76" i="10"/>
  <c r="R74" i="10"/>
  <c r="R83" i="12"/>
  <c r="R96" i="12"/>
  <c r="T91" i="10"/>
  <c r="T89" i="10"/>
  <c r="T86" i="10"/>
  <c r="T84" i="10"/>
  <c r="T81" i="10"/>
  <c r="T78" i="10"/>
  <c r="T76" i="10"/>
  <c r="T74" i="10"/>
  <c r="T72" i="10"/>
  <c r="U92" i="5"/>
  <c r="J52" i="9"/>
  <c r="U36" i="5"/>
  <c r="U65" i="4"/>
  <c r="U71" i="4"/>
  <c r="U74" i="4"/>
  <c r="U77" i="4"/>
  <c r="U81" i="4"/>
  <c r="U83" i="4"/>
  <c r="D40" i="4"/>
  <c r="N40" i="4"/>
  <c r="U40" i="4" s="1"/>
  <c r="L35" i="11"/>
  <c r="R49" i="5"/>
  <c r="F59" i="12"/>
  <c r="Y58" i="12"/>
  <c r="H59" i="12"/>
  <c r="I116" i="7"/>
  <c r="P26" i="11"/>
  <c r="P72" i="11"/>
  <c r="T52" i="9"/>
  <c r="R72" i="11"/>
  <c r="R38" i="11"/>
  <c r="V52" i="9"/>
  <c r="T43" i="11"/>
  <c r="V48" i="10"/>
  <c r="V90" i="10"/>
  <c r="X93" i="7"/>
  <c r="T93" i="11"/>
  <c r="T91" i="11"/>
  <c r="T86" i="11"/>
  <c r="T83" i="11"/>
  <c r="T80" i="11"/>
  <c r="T88" i="11"/>
  <c r="V85" i="10"/>
  <c r="V76" i="10"/>
  <c r="T90" i="12"/>
  <c r="Y90" i="12" s="1"/>
  <c r="X82" i="7"/>
  <c r="T96" i="12"/>
  <c r="Y96" i="12" s="1"/>
  <c r="T86" i="12"/>
  <c r="Y86" i="12" s="1"/>
  <c r="X88" i="7"/>
  <c r="X78" i="7"/>
  <c r="O55" i="11"/>
  <c r="X55" i="11" s="1"/>
  <c r="P51" i="11"/>
  <c r="Y51" i="11" s="1"/>
  <c r="Y42" i="11"/>
  <c r="Y40" i="11"/>
  <c r="O51" i="11"/>
  <c r="X51" i="11" s="1"/>
  <c r="P55" i="11"/>
  <c r="Y55" i="11" s="1"/>
  <c r="T76" i="11"/>
  <c r="Y41" i="11"/>
  <c r="Y39" i="11"/>
  <c r="U69" i="4"/>
  <c r="J38" i="11"/>
  <c r="L26" i="11"/>
  <c r="D77" i="7"/>
  <c r="D88" i="7"/>
  <c r="U72" i="5"/>
  <c r="J76" i="5"/>
  <c r="U76" i="5" s="1"/>
  <c r="L74" i="5"/>
  <c r="U74" i="5" s="1"/>
  <c r="L78" i="5"/>
  <c r="U78" i="5" s="1"/>
  <c r="L83" i="5"/>
  <c r="L89" i="5"/>
  <c r="U89" i="5" s="1"/>
  <c r="N83" i="5"/>
  <c r="U83" i="5" s="1"/>
  <c r="F75" i="7"/>
  <c r="F76" i="7"/>
  <c r="F79" i="7"/>
  <c r="F80" i="7"/>
  <c r="U70" i="4"/>
  <c r="U73" i="4"/>
  <c r="U76" i="4"/>
  <c r="U78" i="4"/>
  <c r="U82" i="4"/>
  <c r="D74" i="11"/>
  <c r="H77" i="11"/>
  <c r="J92" i="11"/>
  <c r="H90" i="11"/>
  <c r="L83" i="11"/>
  <c r="F84" i="11"/>
  <c r="J83" i="11"/>
  <c r="L87" i="11"/>
  <c r="J87" i="11"/>
  <c r="L25" i="11"/>
  <c r="R92" i="5"/>
  <c r="R87" i="5"/>
  <c r="R82" i="5"/>
  <c r="R77" i="5"/>
  <c r="R81" i="4"/>
  <c r="E114" i="11"/>
  <c r="V94" i="7"/>
  <c r="V91" i="7"/>
  <c r="V85" i="7"/>
  <c r="V50" i="7"/>
  <c r="R44" i="11" s="1"/>
  <c r="L58" i="11"/>
  <c r="T78" i="11"/>
  <c r="T74" i="11"/>
  <c r="T72" i="11"/>
  <c r="X50" i="7"/>
  <c r="T59" i="12"/>
  <c r="V86" i="10"/>
  <c r="V79" i="10"/>
  <c r="V75" i="10"/>
  <c r="X52" i="9"/>
  <c r="T75" i="11"/>
  <c r="T38" i="11"/>
  <c r="T92" i="11"/>
  <c r="T90" i="11"/>
  <c r="T87" i="11"/>
  <c r="T84" i="11"/>
  <c r="T81" i="11"/>
  <c r="T79" i="11"/>
  <c r="T77" i="11"/>
  <c r="L84" i="11"/>
  <c r="J84" i="11"/>
  <c r="E113" i="11"/>
  <c r="L86" i="11"/>
  <c r="D81" i="11"/>
  <c r="L77" i="11"/>
  <c r="J79" i="11"/>
  <c r="F76" i="11"/>
  <c r="D79" i="11"/>
  <c r="F90" i="11"/>
  <c r="L93" i="11"/>
  <c r="H83" i="11"/>
  <c r="J88" i="11"/>
  <c r="H76" i="11"/>
  <c r="L79" i="11"/>
  <c r="D83" i="11"/>
  <c r="H87" i="11"/>
  <c r="F87" i="11"/>
  <c r="N78" i="11"/>
  <c r="V91" i="10"/>
  <c r="V81" i="10"/>
  <c r="V72" i="10"/>
  <c r="V88" i="10"/>
  <c r="V82" i="10"/>
  <c r="V77" i="10"/>
  <c r="V73" i="10"/>
  <c r="V89" i="10"/>
  <c r="V84" i="10"/>
  <c r="V78" i="10"/>
  <c r="J78" i="11"/>
  <c r="J77" i="11"/>
  <c r="F77" i="11"/>
  <c r="H78" i="11"/>
  <c r="H84" i="11"/>
  <c r="L78" i="11"/>
  <c r="F81" i="11"/>
  <c r="L91" i="11"/>
  <c r="J90" i="11"/>
  <c r="H92" i="11"/>
  <c r="F83" i="11"/>
  <c r="D76" i="11"/>
  <c r="J81" i="11"/>
  <c r="F79" i="11"/>
  <c r="H86" i="11"/>
  <c r="L88" i="11"/>
  <c r="H79" i="11"/>
  <c r="H88" i="11"/>
  <c r="F75" i="11"/>
  <c r="F92" i="11"/>
  <c r="D92" i="11"/>
  <c r="D84" i="11"/>
  <c r="F88" i="11"/>
  <c r="D87" i="11"/>
  <c r="J86" i="11"/>
  <c r="N87" i="11"/>
  <c r="E106" i="11"/>
  <c r="T101" i="12"/>
  <c r="Y101" i="12" s="1"/>
  <c r="T83" i="12"/>
  <c r="Y83" i="12" s="1"/>
  <c r="T100" i="12"/>
  <c r="Y100" i="12" s="1"/>
  <c r="T95" i="12"/>
  <c r="Y95" i="12" s="1"/>
  <c r="T89" i="12"/>
  <c r="T85" i="12"/>
  <c r="Y85" i="12" s="1"/>
  <c r="T102" i="12"/>
  <c r="T97" i="12"/>
  <c r="Y97" i="12" s="1"/>
  <c r="T92" i="12"/>
  <c r="Y92" i="12" s="1"/>
  <c r="T87" i="12"/>
  <c r="T99" i="12"/>
  <c r="Y99" i="12" s="1"/>
  <c r="T93" i="12"/>
  <c r="Y93" i="12" s="1"/>
  <c r="T88" i="12"/>
  <c r="Y88" i="12" s="1"/>
  <c r="N93" i="11"/>
  <c r="N90" i="11"/>
  <c r="N79" i="11"/>
  <c r="N83" i="11"/>
  <c r="X75" i="7"/>
  <c r="X92" i="7"/>
  <c r="X87" i="7"/>
  <c r="X81" i="7"/>
  <c r="X77" i="7"/>
  <c r="X94" i="7"/>
  <c r="X89" i="7"/>
  <c r="X84" i="7"/>
  <c r="X79" i="7"/>
  <c r="X91" i="7"/>
  <c r="X85" i="7"/>
  <c r="X80" i="7"/>
  <c r="L75" i="11"/>
  <c r="L76" i="11"/>
  <c r="L90" i="11"/>
  <c r="H91" i="11"/>
  <c r="L92" i="11"/>
  <c r="H93" i="11"/>
  <c r="N88" i="11"/>
  <c r="N92" i="11"/>
  <c r="N75" i="11"/>
  <c r="F91" i="11"/>
  <c r="D91" i="11"/>
  <c r="D90" i="11"/>
  <c r="N74" i="11"/>
  <c r="D75" i="11"/>
  <c r="J74" i="11"/>
  <c r="H75" i="11"/>
  <c r="H74" i="11"/>
  <c r="H81" i="11"/>
  <c r="D77" i="11"/>
  <c r="J93" i="11"/>
  <c r="N76" i="11"/>
  <c r="N81" i="11"/>
  <c r="E111" i="11"/>
  <c r="J76" i="11"/>
  <c r="L81" i="11"/>
  <c r="L51" i="11"/>
  <c r="F74" i="11"/>
  <c r="F78" i="11"/>
  <c r="L74" i="11"/>
  <c r="J75" i="11"/>
  <c r="D78" i="11"/>
  <c r="D93" i="11"/>
  <c r="F86" i="11"/>
  <c r="F93" i="11"/>
  <c r="N77" i="11"/>
  <c r="N80" i="11"/>
  <c r="N86" i="11"/>
  <c r="N91" i="11"/>
  <c r="N84" i="11"/>
  <c r="Y76" i="11" l="1"/>
  <c r="Y77" i="11"/>
  <c r="Y58" i="11"/>
  <c r="Y80" i="11"/>
  <c r="Y84" i="11"/>
  <c r="R75" i="11"/>
  <c r="Y75" i="11" s="1"/>
  <c r="R87" i="11"/>
  <c r="Y87" i="11" s="1"/>
  <c r="R88" i="11"/>
  <c r="R84" i="11"/>
  <c r="Y43" i="11"/>
  <c r="R91" i="11"/>
  <c r="Y91" i="11" s="1"/>
  <c r="R92" i="11"/>
  <c r="Y92" i="11" s="1"/>
  <c r="Y87" i="12"/>
  <c r="R77" i="11"/>
  <c r="R93" i="11"/>
  <c r="Y93" i="11" s="1"/>
  <c r="Y102" i="12"/>
  <c r="X74" i="11"/>
  <c r="R86" i="11"/>
  <c r="Y86" i="11" s="1"/>
  <c r="R78" i="11"/>
  <c r="Y78" i="11" s="1"/>
  <c r="R81" i="11"/>
  <c r="Y81" i="11" s="1"/>
  <c r="R80" i="11"/>
  <c r="Y59" i="12"/>
  <c r="R74" i="11"/>
  <c r="Y74" i="11" s="1"/>
  <c r="R79" i="11"/>
  <c r="R83" i="11"/>
  <c r="Y83" i="11" s="1"/>
  <c r="R90" i="11"/>
  <c r="Y90" i="11" s="1"/>
  <c r="Y38" i="11"/>
  <c r="Y72" i="11"/>
  <c r="Y89" i="12"/>
  <c r="Y26" i="11"/>
  <c r="P74" i="11"/>
  <c r="P78" i="11"/>
  <c r="P92" i="11"/>
  <c r="P77" i="11"/>
  <c r="P83" i="11"/>
  <c r="P88" i="11"/>
  <c r="Y88" i="11" s="1"/>
  <c r="P81" i="11"/>
  <c r="P76" i="11"/>
  <c r="P93" i="11"/>
  <c r="P75" i="11"/>
  <c r="P84" i="11"/>
  <c r="P91" i="11"/>
  <c r="P86" i="11"/>
  <c r="P79" i="11"/>
  <c r="Y79" i="11" s="1"/>
  <c r="P90" i="11"/>
  <c r="P87" i="11"/>
  <c r="P80" i="11"/>
  <c r="L50" i="7"/>
  <c r="H44" i="11" s="1"/>
  <c r="H38" i="11"/>
  <c r="F38" i="11"/>
  <c r="J50" i="7"/>
  <c r="F44" i="11" s="1"/>
  <c r="T44" i="11"/>
  <c r="Y44" i="11" s="1"/>
  <c r="E116" i="11"/>
</calcChain>
</file>

<file path=xl/sharedStrings.xml><?xml version="1.0" encoding="utf-8"?>
<sst xmlns="http://schemas.openxmlformats.org/spreadsheetml/2006/main" count="2024" uniqueCount="208">
  <si>
    <t># of</t>
  </si>
  <si>
    <t>Degrees</t>
  </si>
  <si>
    <t>Majors</t>
  </si>
  <si>
    <t>Conferred</t>
  </si>
  <si>
    <t># of Majors &amp; Degrees Conferred:</t>
  </si>
  <si>
    <t>Masters Program</t>
  </si>
  <si>
    <t>Doctorate Program</t>
  </si>
  <si>
    <t>Student Credit Hours Generated:</t>
  </si>
  <si>
    <t>(Base courses only)</t>
  </si>
  <si>
    <t>Lower Division (0-299 level)</t>
  </si>
  <si>
    <t>Upper Division (300-699 level)</t>
  </si>
  <si>
    <t>Graduate I (700-899 level)</t>
  </si>
  <si>
    <t>Graduate II (900-999 level)</t>
  </si>
  <si>
    <t>Total</t>
  </si>
  <si>
    <t>Instructional Expenditures</t>
  </si>
  <si>
    <t>Research/Public Serv. Expenditures</t>
  </si>
  <si>
    <t>Grants/Contracts Awarded:</t>
  </si>
  <si>
    <t>FTE</t>
  </si>
  <si>
    <t xml:space="preserve">Department:  Elementary Education </t>
  </si>
  <si>
    <t xml:space="preserve">Department:  Secondary Education </t>
  </si>
  <si>
    <t xml:space="preserve"> </t>
  </si>
  <si>
    <t>xxxxx</t>
  </si>
  <si>
    <t>Curriculum &amp; Instruction - 13.0301</t>
  </si>
  <si>
    <t>Undergraduate Program</t>
  </si>
  <si>
    <t>Graduate Program</t>
  </si>
  <si>
    <t>Department:  General Education  (Dean's Office)</t>
  </si>
  <si>
    <t>Human Ecology Education majors are officially designated within the College of Human Ecology.  However, resources and support are primarily provided by the Department of Secondary Education.</t>
  </si>
  <si>
    <t>Agricultural Education majors are offically counted in the College of Agriculture.  The resources and support for the program are primarily provided by the Department of Secondary Education.</t>
  </si>
  <si>
    <t>FY 2004</t>
  </si>
  <si>
    <t>FY 2005</t>
  </si>
  <si>
    <t>Fall 2003</t>
  </si>
  <si>
    <t>Fall 2004</t>
  </si>
  <si>
    <t>Master's Program</t>
  </si>
  <si>
    <t>Faculty Demographics:</t>
  </si>
  <si>
    <t xml:space="preserve">Instructional </t>
  </si>
  <si>
    <t>Full-time</t>
  </si>
  <si>
    <t xml:space="preserve">Research </t>
  </si>
  <si>
    <t>Grants/Contracts Proposed:</t>
  </si>
  <si>
    <t>Counseling and Student Development - 13.1101</t>
  </si>
  <si>
    <t>Education Psychology - 13.0802**</t>
  </si>
  <si>
    <t>Elementary Teacher Education - 13.1202</t>
  </si>
  <si>
    <t>Secondary Teacher Education - 13.1205</t>
  </si>
  <si>
    <t>Family and Consumer Sciences/Home Economics Teacher Education - 13.1308</t>
  </si>
  <si>
    <t>Agriculture Teacher Education - 13.1301</t>
  </si>
  <si>
    <t>Special Education (Special Education, General) - 13.1001</t>
  </si>
  <si>
    <t>B. Financial Information:</t>
  </si>
  <si>
    <t>Budgeted Dollars:</t>
  </si>
  <si>
    <t>Main Campus</t>
  </si>
  <si>
    <t>General Use</t>
  </si>
  <si>
    <t>Total Main Campus</t>
  </si>
  <si>
    <t>Research &amp; Extension</t>
  </si>
  <si>
    <t>Total Research &amp; Extension</t>
  </si>
  <si>
    <t>Total Department</t>
  </si>
  <si>
    <t>Expenditures (General Use Only)</t>
  </si>
  <si>
    <t>A.  Student Information</t>
  </si>
  <si>
    <t>C. Faculty Information</t>
  </si>
  <si>
    <t>Minor's Program</t>
  </si>
  <si>
    <t>Graduate Certificate Program</t>
  </si>
  <si>
    <t>Other (Grants, contracts, SRO, fees, sales &amp; service, copy centers, storerooms, etc)</t>
  </si>
  <si>
    <t>Foundation Accounts:</t>
  </si>
  <si>
    <t xml:space="preserve">  </t>
  </si>
  <si>
    <t>Total Donations</t>
  </si>
  <si>
    <t>Endowed Chairs</t>
  </si>
  <si>
    <t>Budgeted Dollars*:</t>
  </si>
  <si>
    <t>Doctorate Programs</t>
  </si>
  <si>
    <t># of Majors &amp; Degrees Conferred:*</t>
  </si>
  <si>
    <t>White</t>
  </si>
  <si>
    <t>Black</t>
  </si>
  <si>
    <t>Hispanic</t>
  </si>
  <si>
    <t>Native American</t>
  </si>
  <si>
    <t xml:space="preserve">Asian </t>
  </si>
  <si>
    <t>Non-Resident</t>
  </si>
  <si>
    <t>Unknown</t>
  </si>
  <si>
    <t>Male</t>
  </si>
  <si>
    <t>Female</t>
  </si>
  <si>
    <t>Tenure</t>
  </si>
  <si>
    <t>Tenure-Track</t>
  </si>
  <si>
    <t>Non-Tenured</t>
  </si>
  <si>
    <t>Ph. D.</t>
  </si>
  <si>
    <t>M.S.</t>
  </si>
  <si>
    <t>B.S.</t>
  </si>
  <si>
    <t>Other</t>
  </si>
  <si>
    <t>N</t>
  </si>
  <si>
    <t>%</t>
  </si>
  <si>
    <t>Ethnicity</t>
  </si>
  <si>
    <t>Gender</t>
  </si>
  <si>
    <t>Tenure Status</t>
  </si>
  <si>
    <t>Highest Degree</t>
  </si>
  <si>
    <t>$</t>
  </si>
  <si>
    <t>FY 2006</t>
  </si>
  <si>
    <t>Endowed Faculty Support Funds-cumulative total</t>
  </si>
  <si>
    <t>Total Annual Donations</t>
  </si>
  <si>
    <t>*Includes Instructional Support and Instructional Reserve.</t>
  </si>
  <si>
    <t xml:space="preserve">Academic Units </t>
  </si>
  <si>
    <t xml:space="preserve">Research &amp; Extension Units </t>
  </si>
  <si>
    <t xml:space="preserve">Total Grants &amp; Contracts Proposed </t>
  </si>
  <si>
    <t xml:space="preserve">Total Grants &amp; Contracts </t>
  </si>
  <si>
    <t>Art Education-13.1302</t>
  </si>
  <si>
    <t>*Number of majors &amp; degrees conferred include second majors.</t>
  </si>
  <si>
    <t>FY 2007</t>
  </si>
  <si>
    <t>Grad Certificate</t>
  </si>
  <si>
    <t>FY 2008</t>
  </si>
  <si>
    <t>Department:  Educational Leadership</t>
  </si>
  <si>
    <t>*department created in FY 2005</t>
  </si>
  <si>
    <t>Graduate Certificate Program (Tech)</t>
  </si>
  <si>
    <t>Adult, Occupational &amp; Continuing Education - 13.1201</t>
  </si>
  <si>
    <t>FY 2009</t>
  </si>
  <si>
    <t>Graduate Non-degree DCE</t>
  </si>
  <si>
    <t>Number of majors &amp; degrees conferred include second majors.</t>
  </si>
  <si>
    <t>Numbers of majors &amp; degrees conferred include second majors</t>
  </si>
  <si>
    <t>Fall 2005</t>
  </si>
  <si>
    <t>Fall 2006</t>
  </si>
  <si>
    <t xml:space="preserve">Graduate Assistants </t>
  </si>
  <si>
    <t>GRAs</t>
  </si>
  <si>
    <t>GTAs</t>
  </si>
  <si>
    <t xml:space="preserve">     1.  Their Undergraduate Majors</t>
  </si>
  <si>
    <t xml:space="preserve">     2.  Their Graduate Majors</t>
  </si>
  <si>
    <t xml:space="preserve">     3.  Non-Majors</t>
  </si>
  <si>
    <t xml:space="preserve">     1.  Tenure/Tenure Track Faculty</t>
  </si>
  <si>
    <t xml:space="preserve">     2.  Graduate Teaching Assistants</t>
  </si>
  <si>
    <t xml:space="preserve">            a.  Instructor of Record</t>
  </si>
  <si>
    <t xml:space="preserve">            b.  Not Instructor of Record</t>
  </si>
  <si>
    <t xml:space="preserve">     3.  Other</t>
  </si>
  <si>
    <t xml:space="preserve">     4.  Total FTE (1 to 3)</t>
  </si>
  <si>
    <t xml:space="preserve">     5.  SCH Generated by Faculty</t>
  </si>
  <si>
    <t xml:space="preserve">     6.  SCH Generated by GTA's</t>
  </si>
  <si>
    <t xml:space="preserve">     7.  SCH Generated by Others</t>
  </si>
  <si>
    <t xml:space="preserve">    12.  Ave. SCH per FTE</t>
  </si>
  <si>
    <t>Fall 2007</t>
  </si>
  <si>
    <t>Fall 2008</t>
  </si>
  <si>
    <t>SCH:</t>
  </si>
  <si>
    <t>RATE (SCH per FTE):</t>
  </si>
  <si>
    <t xml:space="preserve">     9.  Ave. SCH per Tenure/ Ten Trk </t>
  </si>
  <si>
    <t xml:space="preserve">    10. Ave. SCH per GTA (I of R only)</t>
  </si>
  <si>
    <t xml:space="preserve">    11. Ave. SCH per Other Faculty</t>
  </si>
  <si>
    <t xml:space="preserve">     8.            Total SCH</t>
  </si>
  <si>
    <t xml:space="preserve">Instructional FTE: </t>
  </si>
  <si>
    <t>GAs</t>
  </si>
  <si>
    <t>% College SCH taken by:</t>
  </si>
  <si>
    <t>Part-time</t>
  </si>
  <si>
    <t>*moved to Department of Special Ed, Counseling and Student Affairs in 2007</t>
  </si>
  <si>
    <t>% Departmental SCH taken by:</t>
  </si>
  <si>
    <t>Five Year Average</t>
  </si>
  <si>
    <t xml:space="preserve"># of </t>
  </si>
  <si>
    <t xml:space="preserve">Degrees </t>
  </si>
  <si>
    <t>Bachelor's Program</t>
  </si>
  <si>
    <t>* 2</t>
  </si>
  <si>
    <t>Bachelor's Programs</t>
  </si>
  <si>
    <t>Master's Programs</t>
  </si>
  <si>
    <t>Leadership Studies Minor's Program</t>
  </si>
  <si>
    <t>Academic Advising- 13.1199**</t>
  </si>
  <si>
    <t>Pre-Professional Elementary Education - 13.1202</t>
  </si>
  <si>
    <t>Pre-Professional Secondary Education - 13.1205</t>
  </si>
  <si>
    <t>Education, Major Unspecified - 24.0102</t>
  </si>
  <si>
    <t>Leadership Studies- 52.1003**</t>
  </si>
  <si>
    <t>FY 2010</t>
  </si>
  <si>
    <t>Fall 2009</t>
  </si>
  <si>
    <t>*1</t>
  </si>
  <si>
    <t>Educational Leadership - 13.0401</t>
  </si>
  <si>
    <t>.</t>
  </si>
  <si>
    <t>FY 2011</t>
  </si>
  <si>
    <t>Fall 2010</t>
  </si>
  <si>
    <t>Department:  Curriculum and Instruction</t>
  </si>
  <si>
    <t>**Academic Advising master's program was created in FY 2007</t>
  </si>
  <si>
    <t>Academic Advising- 13.1199*</t>
  </si>
  <si>
    <t>(Dept created in Fall 2010 - all prior years display composite data)</t>
  </si>
  <si>
    <t>Sponsored Research Overhead</t>
  </si>
  <si>
    <t>Other (Grants, contracts, fees, sales &amp; service, copy centers, storerooms, etc)</t>
  </si>
  <si>
    <t>Other (Grants, contracts,  fees, sales &amp; service, copy centers, storerooms, etc)</t>
  </si>
  <si>
    <t>Fall 2009*</t>
  </si>
  <si>
    <t>Two or More Races</t>
  </si>
  <si>
    <t>Moved to separate report</t>
  </si>
  <si>
    <t>Expenditures (General Use &amp;SRO Only)</t>
  </si>
  <si>
    <t>Expenditures (General Use &amp; SRO Only)</t>
  </si>
  <si>
    <t>located on a separate report</t>
  </si>
  <si>
    <t>Family and Consumer Sciences Teacher Education* - 19.0101 (formerly 13.1308)</t>
  </si>
  <si>
    <r>
      <t xml:space="preserve">* </t>
    </r>
    <r>
      <rPr>
        <sz val="8"/>
        <rFont val="Arial"/>
        <family val="2"/>
      </rPr>
      <t>Family and Consumer Sciences Education became a subplan of General Human Ecology in 2004</t>
    </r>
  </si>
  <si>
    <t>Graduate Certificate Program (CTC)</t>
  </si>
  <si>
    <t>Graduate Certif Program (TELRN)</t>
  </si>
  <si>
    <t>FY 2012</t>
  </si>
  <si>
    <t>Fall 2011</t>
  </si>
  <si>
    <t>previous years included Curriculum and Instruction, so they are not included here</t>
  </si>
  <si>
    <t>**Leadership Studies minor monies included until FY2009</t>
  </si>
  <si>
    <t xml:space="preserve">***School of Leadership Studies included in these figures </t>
  </si>
  <si>
    <t>FY 2007***</t>
  </si>
  <si>
    <t>FY 2008***</t>
  </si>
  <si>
    <t>FY 2007**</t>
  </si>
  <si>
    <t>FY 2008**</t>
  </si>
  <si>
    <t xml:space="preserve">* Spec Ed and Counsel Ed combined into one department FY 2007 </t>
  </si>
  <si>
    <t>FY 2013</t>
  </si>
  <si>
    <t>Fall 2012</t>
  </si>
  <si>
    <t>Graduate Certif Program (ADLRN)</t>
  </si>
  <si>
    <t>Graduate Certif Program (DTLC)</t>
  </si>
  <si>
    <t>Graduate Certificate Program (CEDADC)</t>
  </si>
  <si>
    <t>FY 2014</t>
  </si>
  <si>
    <t>Fall 2013</t>
  </si>
  <si>
    <t>*Note: For the 2009 collection cycle and later, Instructional FTE was defined according to the national Delaware Study of Instructional Costs and Productivity</t>
  </si>
  <si>
    <t>Graduate Certif Program (TESLA)</t>
  </si>
  <si>
    <t>FY 2015</t>
  </si>
  <si>
    <t>Fall 2014</t>
  </si>
  <si>
    <t>Graduate Certif Program (OLNCD)</t>
  </si>
  <si>
    <t>Online/General Education - 13.1299</t>
  </si>
  <si>
    <t>Teaching Students with Autism - 13.1013</t>
  </si>
  <si>
    <t>Department Profile Report - FY 2015</t>
  </si>
  <si>
    <t>Department: Special Education, Counseling &amp; Student Affairs</t>
  </si>
  <si>
    <t xml:space="preserve">Instructional FTE*: </t>
  </si>
  <si>
    <t>College of Education Profile Summary Report - 2010-2015</t>
  </si>
  <si>
    <t>*Bachelors Programs include pre-professional programs and undecided College of Education students; Masters Programs include undecided College of Education graduate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</si>
</sst>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164" formatCode="&quot;$&quot;#,##0\ ;\(&quot;$&quot;#,##0\)"/>
    <numFmt numFmtId="165" formatCode="&quot;$&quot;#,##0.00\ ;\(&quot;$&quot;#,##0.00\)"/>
    <numFmt numFmtId="166" formatCode="0.0%"/>
    <numFmt numFmtId="167" formatCode="#,##0.0"/>
    <numFmt numFmtId="168" formatCode="_(* #,##0_);_(* \(#,##0\);_(* &quot;-&quot;??_);_(@_)"/>
    <numFmt numFmtId="169" formatCode="&quot;$&quot;#,##0"/>
    <numFmt numFmtId="170" formatCode="0.0"/>
    <numFmt numFmtId="171" formatCode="&quot;$&quot;#,##0.00;[Red]&quot;$&quot;#,##0.00"/>
    <numFmt numFmtId="172" formatCode="&quot;$&quot;#,##0.00"/>
    <numFmt numFmtId="173" formatCode="&quot;$&quot;#,##0;[Red]&quot;$&quot;#,##0"/>
  </numFmts>
  <fonts count="1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</fills>
  <borders count="13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/>
    <xf numFmtId="10" fontId="13" fillId="0" borderId="0" applyFont="0" applyFill="0" applyBorder="0" applyAlignment="0" applyProtection="0"/>
    <xf numFmtId="10" fontId="14" fillId="0" borderId="0" applyFill="0" applyBorder="0" applyAlignment="0" applyProtection="0"/>
    <xf numFmtId="10" fontId="13" fillId="0" borderId="0" applyFont="0" applyFill="0" applyBorder="0" applyAlignment="0" applyProtection="0"/>
    <xf numFmtId="0" fontId="13" fillId="0" borderId="1" applyNumberFormat="0" applyFont="0" applyFill="0" applyAlignment="0" applyProtection="0"/>
  </cellStyleXfs>
  <cellXfs count="1384">
    <xf numFmtId="0" fontId="0" fillId="0" borderId="0" xfId="0"/>
    <xf numFmtId="0" fontId="4" fillId="0" borderId="0" xfId="0" applyFont="1"/>
    <xf numFmtId="0" fontId="3" fillId="0" borderId="0" xfId="0" applyFont="1"/>
    <xf numFmtId="0" fontId="7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3" fillId="0" borderId="5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0" xfId="0" applyFont="1" applyBorder="1"/>
    <xf numFmtId="0" fontId="3" fillId="0" borderId="17" xfId="0" applyFont="1" applyBorder="1" applyAlignment="1">
      <alignment horizontal="centerContinuous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Border="1"/>
    <xf numFmtId="0" fontId="4" fillId="0" borderId="21" xfId="0" applyFont="1" applyBorder="1"/>
    <xf numFmtId="0" fontId="4" fillId="0" borderId="18" xfId="0" applyFont="1" applyBorder="1"/>
    <xf numFmtId="0" fontId="4" fillId="0" borderId="18" xfId="0" applyFont="1" applyBorder="1" applyAlignment="1">
      <alignment horizontal="center"/>
    </xf>
    <xf numFmtId="0" fontId="3" fillId="0" borderId="22" xfId="0" applyFont="1" applyBorder="1"/>
    <xf numFmtId="164" fontId="4" fillId="0" borderId="15" xfId="0" applyNumberFormat="1" applyFont="1" applyBorder="1"/>
    <xf numFmtId="164" fontId="4" fillId="0" borderId="22" xfId="0" applyNumberFormat="1" applyFont="1" applyBorder="1"/>
    <xf numFmtId="164" fontId="4" fillId="0" borderId="16" xfId="0" applyNumberFormat="1" applyFont="1" applyBorder="1"/>
    <xf numFmtId="164" fontId="4" fillId="0" borderId="23" xfId="0" applyNumberFormat="1" applyFont="1" applyBorder="1"/>
    <xf numFmtId="0" fontId="4" fillId="0" borderId="18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3" fillId="0" borderId="28" xfId="0" applyFont="1" applyBorder="1"/>
    <xf numFmtId="0" fontId="5" fillId="0" borderId="29" xfId="0" applyFont="1" applyBorder="1"/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28" xfId="0" applyFont="1" applyBorder="1"/>
    <xf numFmtId="0" fontId="4" fillId="0" borderId="29" xfId="0" applyFont="1" applyBorder="1"/>
    <xf numFmtId="0" fontId="3" fillId="0" borderId="30" xfId="0" applyFont="1" applyBorder="1" applyAlignment="1">
      <alignment horizontal="center"/>
    </xf>
    <xf numFmtId="0" fontId="3" fillId="0" borderId="29" xfId="0" applyFont="1" applyBorder="1"/>
    <xf numFmtId="3" fontId="4" fillId="0" borderId="15" xfId="0" applyNumberFormat="1" applyFont="1" applyBorder="1"/>
    <xf numFmtId="3" fontId="3" fillId="0" borderId="22" xfId="0" applyNumberFormat="1" applyFont="1" applyBorder="1"/>
    <xf numFmtId="3" fontId="4" fillId="0" borderId="3" xfId="0" applyNumberFormat="1" applyFont="1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4" fillId="0" borderId="31" xfId="0" applyFont="1" applyBorder="1"/>
    <xf numFmtId="0" fontId="4" fillId="0" borderId="32" xfId="0" applyFont="1" applyBorder="1"/>
    <xf numFmtId="3" fontId="4" fillId="0" borderId="33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0" borderId="34" xfId="0" applyNumberFormat="1" applyFont="1" applyBorder="1" applyAlignment="1">
      <alignment horizontal="right"/>
    </xf>
    <xf numFmtId="0" fontId="4" fillId="0" borderId="35" xfId="0" applyFont="1" applyBorder="1"/>
    <xf numFmtId="0" fontId="4" fillId="0" borderId="36" xfId="0" applyFont="1" applyBorder="1"/>
    <xf numFmtId="3" fontId="4" fillId="0" borderId="36" xfId="0" applyNumberFormat="1" applyFont="1" applyBorder="1"/>
    <xf numFmtId="164" fontId="4" fillId="0" borderId="36" xfId="0" applyNumberFormat="1" applyFont="1" applyBorder="1" applyAlignment="1">
      <alignment horizontal="right"/>
    </xf>
    <xf numFmtId="164" fontId="4" fillId="0" borderId="37" xfId="0" applyNumberFormat="1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0" borderId="34" xfId="0" applyFont="1" applyBorder="1"/>
    <xf numFmtId="0" fontId="4" fillId="0" borderId="39" xfId="0" applyFont="1" applyBorder="1"/>
    <xf numFmtId="0" fontId="4" fillId="0" borderId="34" xfId="0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40" xfId="0" applyFont="1" applyBorder="1"/>
    <xf numFmtId="0" fontId="4" fillId="0" borderId="41" xfId="0" applyFont="1" applyBorder="1"/>
    <xf numFmtId="0" fontId="4" fillId="0" borderId="8" xfId="0" applyFont="1" applyBorder="1" applyAlignment="1">
      <alignment horizontal="right"/>
    </xf>
    <xf numFmtId="0" fontId="4" fillId="0" borderId="42" xfId="0" applyFont="1" applyBorder="1"/>
    <xf numFmtId="0" fontId="4" fillId="0" borderId="43" xfId="0" applyFont="1" applyBorder="1"/>
    <xf numFmtId="0" fontId="3" fillId="0" borderId="0" xfId="0" applyFont="1" applyBorder="1"/>
    <xf numFmtId="164" fontId="4" fillId="0" borderId="0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3" fillId="0" borderId="44" xfId="0" applyFont="1" applyBorder="1"/>
    <xf numFmtId="0" fontId="4" fillId="0" borderId="45" xfId="0" applyFont="1" applyBorder="1" applyAlignment="1">
      <alignment horizontal="right"/>
    </xf>
    <xf numFmtId="0" fontId="4" fillId="2" borderId="15" xfId="0" applyFont="1" applyFill="1" applyBorder="1"/>
    <xf numFmtId="0" fontId="3" fillId="0" borderId="23" xfId="0" applyFont="1" applyBorder="1" applyAlignment="1">
      <alignment horizontal="right"/>
    </xf>
    <xf numFmtId="0" fontId="3" fillId="0" borderId="2" xfId="0" applyFont="1" applyBorder="1"/>
    <xf numFmtId="164" fontId="4" fillId="0" borderId="46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0" fontId="7" fillId="0" borderId="0" xfId="0" applyFont="1" applyBorder="1"/>
    <xf numFmtId="0" fontId="3" fillId="0" borderId="15" xfId="0" applyFont="1" applyBorder="1"/>
    <xf numFmtId="0" fontId="4" fillId="0" borderId="47" xfId="0" applyFont="1" applyBorder="1"/>
    <xf numFmtId="0" fontId="4" fillId="0" borderId="48" xfId="0" applyFont="1" applyBorder="1"/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9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" xfId="0" applyFont="1" applyBorder="1" applyAlignment="1">
      <alignment horizontal="left" wrapText="1" indent="1"/>
    </xf>
    <xf numFmtId="164" fontId="4" fillId="0" borderId="48" xfId="0" applyNumberFormat="1" applyFont="1" applyBorder="1"/>
    <xf numFmtId="0" fontId="8" fillId="0" borderId="0" xfId="0" applyFont="1"/>
    <xf numFmtId="0" fontId="4" fillId="0" borderId="7" xfId="0" applyFont="1" applyBorder="1" applyAlignment="1">
      <alignment horizontal="right"/>
    </xf>
    <xf numFmtId="0" fontId="4" fillId="0" borderId="49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right"/>
    </xf>
    <xf numFmtId="0" fontId="8" fillId="0" borderId="50" xfId="0" applyFont="1" applyBorder="1"/>
    <xf numFmtId="0" fontId="4" fillId="0" borderId="2" xfId="0" applyFont="1" applyBorder="1" applyAlignment="1">
      <alignment horizontal="right"/>
    </xf>
    <xf numFmtId="0" fontId="4" fillId="0" borderId="51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3" fontId="4" fillId="0" borderId="15" xfId="1" applyNumberFormat="1" applyFont="1" applyBorder="1" applyAlignment="1">
      <alignment horizontal="right"/>
    </xf>
    <xf numFmtId="0" fontId="3" fillId="0" borderId="28" xfId="0" applyFont="1" applyFill="1" applyBorder="1"/>
    <xf numFmtId="0" fontId="4" fillId="0" borderId="52" xfId="0" applyFont="1" applyFill="1" applyBorder="1"/>
    <xf numFmtId="0" fontId="4" fillId="0" borderId="20" xfId="0" applyFont="1" applyFill="1" applyBorder="1"/>
    <xf numFmtId="0" fontId="4" fillId="0" borderId="9" xfId="0" applyFont="1" applyFill="1" applyBorder="1"/>
    <xf numFmtId="0" fontId="4" fillId="0" borderId="40" xfId="0" applyFont="1" applyFill="1" applyBorder="1"/>
    <xf numFmtId="0" fontId="4" fillId="0" borderId="41" xfId="0" applyFont="1" applyFill="1" applyBorder="1"/>
    <xf numFmtId="0" fontId="5" fillId="0" borderId="38" xfId="0" applyFont="1" applyFill="1" applyBorder="1" applyAlignment="1">
      <alignment horizontal="left"/>
    </xf>
    <xf numFmtId="0" fontId="4" fillId="0" borderId="49" xfId="0" applyFont="1" applyFill="1" applyBorder="1"/>
    <xf numFmtId="0" fontId="4" fillId="0" borderId="34" xfId="0" applyFont="1" applyFill="1" applyBorder="1" applyAlignment="1">
      <alignment horizontal="center"/>
    </xf>
    <xf numFmtId="0" fontId="4" fillId="0" borderId="39" xfId="0" applyFont="1" applyFill="1" applyBorder="1"/>
    <xf numFmtId="0" fontId="4" fillId="0" borderId="34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4" fillId="0" borderId="21" xfId="0" applyFont="1" applyFill="1" applyBorder="1"/>
    <xf numFmtId="0" fontId="4" fillId="0" borderId="18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0" fontId="4" fillId="0" borderId="54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0" borderId="55" xfId="0" applyFont="1" applyBorder="1"/>
    <xf numFmtId="3" fontId="3" fillId="0" borderId="56" xfId="0" applyNumberFormat="1" applyFont="1" applyBorder="1"/>
    <xf numFmtId="168" fontId="4" fillId="0" borderId="35" xfId="1" applyNumberFormat="1" applyFont="1" applyBorder="1"/>
    <xf numFmtId="168" fontId="4" fillId="0" borderId="36" xfId="1" applyNumberFormat="1" applyFont="1" applyBorder="1"/>
    <xf numFmtId="0" fontId="3" fillId="0" borderId="32" xfId="0" applyFont="1" applyBorder="1"/>
    <xf numFmtId="168" fontId="3" fillId="0" borderId="36" xfId="1" applyNumberFormat="1" applyFont="1" applyBorder="1"/>
    <xf numFmtId="0" fontId="4" fillId="0" borderId="57" xfId="0" applyFont="1" applyBorder="1"/>
    <xf numFmtId="0" fontId="4" fillId="0" borderId="58" xfId="0" applyFont="1" applyBorder="1"/>
    <xf numFmtId="164" fontId="4" fillId="0" borderId="32" xfId="0" applyNumberFormat="1" applyFont="1" applyBorder="1"/>
    <xf numFmtId="164" fontId="4" fillId="0" borderId="59" xfId="0" applyNumberFormat="1" applyFont="1" applyBorder="1"/>
    <xf numFmtId="164" fontId="4" fillId="0" borderId="60" xfId="0" applyNumberFormat="1" applyFont="1" applyBorder="1" applyAlignment="1">
      <alignment horizontal="center"/>
    </xf>
    <xf numFmtId="164" fontId="4" fillId="0" borderId="58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right"/>
    </xf>
    <xf numFmtId="0" fontId="4" fillId="0" borderId="61" xfId="0" applyNumberFormat="1" applyFont="1" applyBorder="1" applyAlignment="1">
      <alignment horizontal="right"/>
    </xf>
    <xf numFmtId="164" fontId="4" fillId="0" borderId="57" xfId="0" applyNumberFormat="1" applyFont="1" applyBorder="1"/>
    <xf numFmtId="164" fontId="4" fillId="0" borderId="60" xfId="0" applyNumberFormat="1" applyFont="1" applyBorder="1"/>
    <xf numFmtId="164" fontId="4" fillId="0" borderId="31" xfId="0" applyNumberFormat="1" applyFont="1" applyBorder="1"/>
    <xf numFmtId="164" fontId="4" fillId="0" borderId="35" xfId="0" applyNumberFormat="1" applyFont="1" applyBorder="1" applyAlignment="1">
      <alignment horizontal="right"/>
    </xf>
    <xf numFmtId="164" fontId="4" fillId="0" borderId="55" xfId="0" applyNumberFormat="1" applyFont="1" applyBorder="1"/>
    <xf numFmtId="164" fontId="4" fillId="0" borderId="56" xfId="0" applyNumberFormat="1" applyFont="1" applyBorder="1" applyAlignment="1">
      <alignment horizontal="right"/>
    </xf>
    <xf numFmtId="168" fontId="4" fillId="0" borderId="15" xfId="1" applyNumberFormat="1" applyFont="1" applyBorder="1"/>
    <xf numFmtId="168" fontId="3" fillId="0" borderId="15" xfId="1" applyNumberFormat="1" applyFont="1" applyBorder="1"/>
    <xf numFmtId="164" fontId="4" fillId="0" borderId="48" xfId="0" applyNumberFormat="1" applyFont="1" applyBorder="1" applyAlignment="1">
      <alignment horizontal="center"/>
    </xf>
    <xf numFmtId="5" fontId="4" fillId="0" borderId="37" xfId="0" applyNumberFormat="1" applyFont="1" applyBorder="1" applyAlignment="1">
      <alignment horizontal="right"/>
    </xf>
    <xf numFmtId="5" fontId="4" fillId="0" borderId="58" xfId="0" applyNumberFormat="1" applyFont="1" applyBorder="1" applyAlignment="1">
      <alignment horizontal="right"/>
    </xf>
    <xf numFmtId="5" fontId="4" fillId="0" borderId="62" xfId="0" applyNumberFormat="1" applyFont="1" applyBorder="1" applyAlignment="1">
      <alignment horizontal="right"/>
    </xf>
    <xf numFmtId="5" fontId="4" fillId="0" borderId="35" xfId="0" applyNumberFormat="1" applyFont="1" applyBorder="1" applyAlignment="1">
      <alignment horizontal="right"/>
    </xf>
    <xf numFmtId="5" fontId="4" fillId="0" borderId="56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3" fontId="4" fillId="0" borderId="36" xfId="0" applyNumberFormat="1" applyFont="1" applyBorder="1" applyAlignment="1">
      <alignment horizontal="right"/>
    </xf>
    <xf numFmtId="0" fontId="4" fillId="2" borderId="32" xfId="0" applyFont="1" applyFill="1" applyBorder="1"/>
    <xf numFmtId="0" fontId="3" fillId="0" borderId="55" xfId="0" applyFont="1" applyBorder="1" applyAlignment="1">
      <alignment horizontal="right"/>
    </xf>
    <xf numFmtId="0" fontId="3" fillId="0" borderId="35" xfId="0" applyFont="1" applyBorder="1" applyAlignment="1">
      <alignment horizontal="center"/>
    </xf>
    <xf numFmtId="0" fontId="4" fillId="0" borderId="32" xfId="0" applyFont="1" applyFill="1" applyBorder="1" applyAlignment="1">
      <alignment horizontal="right"/>
    </xf>
    <xf numFmtId="166" fontId="4" fillId="0" borderId="36" xfId="12" applyNumberFormat="1" applyFont="1" applyFill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166" fontId="3" fillId="0" borderId="32" xfId="0" applyNumberFormat="1" applyFont="1" applyFill="1" applyBorder="1" applyAlignment="1">
      <alignment horizontal="right"/>
    </xf>
    <xf numFmtId="3" fontId="3" fillId="0" borderId="32" xfId="0" applyNumberFormat="1" applyFont="1" applyBorder="1" applyAlignment="1">
      <alignment horizontal="right"/>
    </xf>
    <xf numFmtId="0" fontId="4" fillId="0" borderId="55" xfId="0" applyFont="1" applyBorder="1" applyAlignment="1">
      <alignment horizontal="right"/>
    </xf>
    <xf numFmtId="166" fontId="4" fillId="0" borderId="56" xfId="12" applyNumberFormat="1" applyFont="1" applyFill="1" applyBorder="1" applyAlignment="1">
      <alignment horizontal="right"/>
    </xf>
    <xf numFmtId="166" fontId="4" fillId="0" borderId="3" xfId="12" applyNumberFormat="1" applyFont="1" applyFill="1" applyBorder="1" applyAlignment="1">
      <alignment horizontal="right"/>
    </xf>
    <xf numFmtId="166" fontId="4" fillId="0" borderId="4" xfId="12" applyNumberFormat="1" applyFont="1" applyFill="1" applyBorder="1" applyAlignment="1">
      <alignment horizontal="right"/>
    </xf>
    <xf numFmtId="3" fontId="4" fillId="0" borderId="7" xfId="1" applyNumberFormat="1" applyFont="1" applyFill="1" applyBorder="1" applyAlignment="1">
      <alignment horizontal="right"/>
    </xf>
    <xf numFmtId="3" fontId="4" fillId="0" borderId="7" xfId="1" applyNumberFormat="1" applyFont="1" applyBorder="1" applyAlignment="1">
      <alignment horizontal="right"/>
    </xf>
    <xf numFmtId="3" fontId="3" fillId="0" borderId="56" xfId="0" applyNumberFormat="1" applyFont="1" applyBorder="1" applyAlignment="1">
      <alignment horizontal="right"/>
    </xf>
    <xf numFmtId="3" fontId="4" fillId="0" borderId="32" xfId="1" applyNumberFormat="1" applyFont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166" fontId="4" fillId="0" borderId="7" xfId="0" applyNumberFormat="1" applyFont="1" applyBorder="1" applyAlignment="1">
      <alignment horizontal="right"/>
    </xf>
    <xf numFmtId="3" fontId="4" fillId="0" borderId="8" xfId="1" applyNumberFormat="1" applyFont="1" applyBorder="1" applyAlignment="1">
      <alignment horizontal="right"/>
    </xf>
    <xf numFmtId="3" fontId="4" fillId="0" borderId="32" xfId="1" applyNumberFormat="1" applyFont="1" applyFill="1" applyBorder="1" applyAlignment="1">
      <alignment horizontal="right"/>
    </xf>
    <xf numFmtId="0" fontId="3" fillId="0" borderId="20" xfId="0" applyFont="1" applyBorder="1" applyAlignment="1">
      <alignment horizontal="center"/>
    </xf>
    <xf numFmtId="166" fontId="4" fillId="0" borderId="18" xfId="12" applyNumberFormat="1" applyFont="1" applyFill="1" applyBorder="1" applyAlignment="1">
      <alignment horizontal="right"/>
    </xf>
    <xf numFmtId="3" fontId="4" fillId="0" borderId="21" xfId="1" applyNumberFormat="1" applyFont="1" applyFill="1" applyBorder="1" applyAlignment="1">
      <alignment horizontal="right"/>
    </xf>
    <xf numFmtId="0" fontId="3" fillId="0" borderId="57" xfId="0" applyFont="1" applyBorder="1" applyAlignment="1">
      <alignment horizontal="center"/>
    </xf>
    <xf numFmtId="3" fontId="3" fillId="0" borderId="58" xfId="0" applyNumberFormat="1" applyFont="1" applyBorder="1" applyAlignment="1">
      <alignment horizontal="center"/>
    </xf>
    <xf numFmtId="166" fontId="4" fillId="0" borderId="36" xfId="0" applyNumberFormat="1" applyFont="1" applyBorder="1"/>
    <xf numFmtId="3" fontId="4" fillId="0" borderId="39" xfId="1" applyNumberFormat="1" applyFont="1" applyFill="1" applyBorder="1" applyAlignment="1">
      <alignment horizontal="right"/>
    </xf>
    <xf numFmtId="3" fontId="4" fillId="0" borderId="34" xfId="1" applyNumberFormat="1" applyFont="1" applyFill="1" applyBorder="1" applyAlignment="1">
      <alignment horizontal="right"/>
    </xf>
    <xf numFmtId="3" fontId="4" fillId="0" borderId="54" xfId="1" applyNumberFormat="1" applyFont="1" applyFill="1" applyBorder="1" applyAlignment="1">
      <alignment horizontal="right"/>
    </xf>
    <xf numFmtId="3" fontId="4" fillId="0" borderId="8" xfId="1" applyNumberFormat="1" applyFont="1" applyFill="1" applyBorder="1" applyAlignment="1">
      <alignment horizontal="right"/>
    </xf>
    <xf numFmtId="164" fontId="4" fillId="0" borderId="61" xfId="0" applyNumberFormat="1" applyFont="1" applyBorder="1" applyAlignment="1">
      <alignment horizontal="right"/>
    </xf>
    <xf numFmtId="0" fontId="4" fillId="0" borderId="46" xfId="0" applyNumberFormat="1" applyFont="1" applyBorder="1"/>
    <xf numFmtId="0" fontId="4" fillId="0" borderId="42" xfId="0" applyFont="1" applyFill="1" applyBorder="1"/>
    <xf numFmtId="0" fontId="3" fillId="0" borderId="14" xfId="0" applyFont="1" applyBorder="1"/>
    <xf numFmtId="0" fontId="4" fillId="0" borderId="0" xfId="0" applyFont="1" applyFill="1"/>
    <xf numFmtId="0" fontId="0" fillId="0" borderId="0" xfId="0" applyFill="1"/>
    <xf numFmtId="0" fontId="3" fillId="0" borderId="7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4" fillId="0" borderId="16" xfId="0" applyFont="1" applyFill="1" applyBorder="1"/>
    <xf numFmtId="0" fontId="4" fillId="0" borderId="15" xfId="0" applyFont="1" applyFill="1" applyBorder="1"/>
    <xf numFmtId="0" fontId="3" fillId="0" borderId="22" xfId="0" applyFont="1" applyFill="1" applyBorder="1"/>
    <xf numFmtId="0" fontId="3" fillId="0" borderId="1" xfId="0" applyFont="1" applyFill="1" applyBorder="1"/>
    <xf numFmtId="3" fontId="3" fillId="0" borderId="1" xfId="0" applyNumberFormat="1" applyFont="1" applyFill="1" applyBorder="1"/>
    <xf numFmtId="0" fontId="3" fillId="0" borderId="15" xfId="0" applyFont="1" applyFill="1" applyBorder="1"/>
    <xf numFmtId="0" fontId="4" fillId="0" borderId="48" xfId="0" applyFont="1" applyFill="1" applyBorder="1"/>
    <xf numFmtId="164" fontId="4" fillId="0" borderId="15" xfId="0" applyNumberFormat="1" applyFont="1" applyFill="1" applyBorder="1"/>
    <xf numFmtId="164" fontId="4" fillId="0" borderId="22" xfId="0" applyNumberFormat="1" applyFont="1" applyFill="1" applyBorder="1"/>
    <xf numFmtId="164" fontId="4" fillId="0" borderId="0" xfId="0" applyNumberFormat="1" applyFont="1" applyFill="1" applyBorder="1" applyAlignment="1">
      <alignment horizontal="center"/>
    </xf>
    <xf numFmtId="164" fontId="4" fillId="0" borderId="65" xfId="0" applyNumberFormat="1" applyFont="1" applyFill="1" applyBorder="1" applyAlignment="1">
      <alignment horizontal="center"/>
    </xf>
    <xf numFmtId="164" fontId="4" fillId="0" borderId="46" xfId="0" applyNumberFormat="1" applyFont="1" applyFill="1" applyBorder="1"/>
    <xf numFmtId="164" fontId="4" fillId="0" borderId="48" xfId="0" applyNumberFormat="1" applyFont="1" applyFill="1" applyBorder="1"/>
    <xf numFmtId="164" fontId="4" fillId="0" borderId="0" xfId="0" applyNumberFormat="1" applyFont="1" applyFill="1" applyBorder="1"/>
    <xf numFmtId="164" fontId="4" fillId="0" borderId="16" xfId="0" applyNumberFormat="1" applyFont="1" applyFill="1" applyBorder="1"/>
    <xf numFmtId="164" fontId="4" fillId="0" borderId="23" xfId="0" applyNumberFormat="1" applyFont="1" applyFill="1" applyBorder="1"/>
    <xf numFmtId="0" fontId="3" fillId="0" borderId="23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4" fillId="0" borderId="32" xfId="0" applyFont="1" applyFill="1" applyBorder="1"/>
    <xf numFmtId="0" fontId="4" fillId="0" borderId="31" xfId="0" applyFont="1" applyFill="1" applyBorder="1"/>
    <xf numFmtId="0" fontId="3" fillId="0" borderId="32" xfId="0" applyFont="1" applyFill="1" applyBorder="1"/>
    <xf numFmtId="0" fontId="4" fillId="0" borderId="57" xfId="0" applyFont="1" applyFill="1" applyBorder="1"/>
    <xf numFmtId="164" fontId="4" fillId="0" borderId="32" xfId="0" applyNumberFormat="1" applyFont="1" applyFill="1" applyBorder="1"/>
    <xf numFmtId="164" fontId="4" fillId="0" borderId="59" xfId="0" applyNumberFormat="1" applyFont="1" applyFill="1" applyBorder="1"/>
    <xf numFmtId="164" fontId="4" fillId="0" borderId="60" xfId="0" applyNumberFormat="1" applyFont="1" applyFill="1" applyBorder="1" applyAlignment="1">
      <alignment horizontal="center"/>
    </xf>
    <xf numFmtId="164" fontId="4" fillId="0" borderId="63" xfId="0" applyNumberFormat="1" applyFont="1" applyFill="1" applyBorder="1"/>
    <xf numFmtId="3" fontId="4" fillId="0" borderId="36" xfId="1" applyNumberFormat="1" applyFont="1" applyBorder="1"/>
    <xf numFmtId="3" fontId="4" fillId="0" borderId="36" xfId="1" applyNumberFormat="1" applyFont="1" applyBorder="1" applyAlignment="1">
      <alignment horizontal="right"/>
    </xf>
    <xf numFmtId="168" fontId="4" fillId="0" borderId="35" xfId="1" applyNumberFormat="1" applyFont="1" applyFill="1" applyBorder="1"/>
    <xf numFmtId="168" fontId="4" fillId="0" borderId="36" xfId="1" applyNumberFormat="1" applyFont="1" applyFill="1" applyBorder="1"/>
    <xf numFmtId="168" fontId="3" fillId="0" borderId="36" xfId="1" applyNumberFormat="1" applyFont="1" applyFill="1" applyBorder="1"/>
    <xf numFmtId="0" fontId="4" fillId="0" borderId="61" xfId="0" applyNumberFormat="1" applyFont="1" applyBorder="1"/>
    <xf numFmtId="0" fontId="4" fillId="0" borderId="58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169" fontId="4" fillId="0" borderId="56" xfId="0" applyNumberFormat="1" applyFont="1" applyBorder="1" applyAlignment="1">
      <alignment horizontal="right"/>
    </xf>
    <xf numFmtId="166" fontId="3" fillId="0" borderId="18" xfId="12" applyNumberFormat="1" applyFont="1" applyFill="1" applyBorder="1" applyAlignment="1">
      <alignment horizontal="right"/>
    </xf>
    <xf numFmtId="166" fontId="4" fillId="0" borderId="18" xfId="12" applyNumberFormat="1" applyFont="1" applyBorder="1" applyAlignment="1">
      <alignment horizontal="right"/>
    </xf>
    <xf numFmtId="166" fontId="4" fillId="0" borderId="24" xfId="12" applyNumberFormat="1" applyFont="1" applyBorder="1" applyAlignment="1">
      <alignment horizontal="right"/>
    </xf>
    <xf numFmtId="0" fontId="4" fillId="0" borderId="67" xfId="0" applyFont="1" applyBorder="1"/>
    <xf numFmtId="0" fontId="3" fillId="0" borderId="33" xfId="0" applyFont="1" applyBorder="1" applyAlignment="1">
      <alignment horizontal="center"/>
    </xf>
    <xf numFmtId="0" fontId="4" fillId="0" borderId="47" xfId="0" applyFont="1" applyFill="1" applyBorder="1"/>
    <xf numFmtId="0" fontId="4" fillId="0" borderId="33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4" fillId="0" borderId="69" xfId="0" applyFont="1" applyFill="1" applyBorder="1"/>
    <xf numFmtId="0" fontId="3" fillId="0" borderId="55" xfId="0" applyFont="1" applyFill="1" applyBorder="1"/>
    <xf numFmtId="168" fontId="4" fillId="0" borderId="16" xfId="1" applyNumberFormat="1" applyFont="1" applyFill="1" applyBorder="1"/>
    <xf numFmtId="168" fontId="4" fillId="0" borderId="15" xfId="1" applyNumberFormat="1" applyFont="1" applyFill="1" applyBorder="1"/>
    <xf numFmtId="168" fontId="3" fillId="0" borderId="15" xfId="1" applyNumberFormat="1" applyFont="1" applyFill="1" applyBorder="1"/>
    <xf numFmtId="0" fontId="4" fillId="0" borderId="48" xfId="0" applyFont="1" applyBorder="1" applyAlignment="1">
      <alignment horizontal="center"/>
    </xf>
    <xf numFmtId="164" fontId="4" fillId="0" borderId="57" xfId="0" applyNumberFormat="1" applyFont="1" applyFill="1" applyBorder="1"/>
    <xf numFmtId="164" fontId="4" fillId="0" borderId="60" xfId="0" applyNumberFormat="1" applyFont="1" applyFill="1" applyBorder="1"/>
    <xf numFmtId="164" fontId="4" fillId="0" borderId="31" xfId="0" applyNumberFormat="1" applyFont="1" applyFill="1" applyBorder="1"/>
    <xf numFmtId="164" fontId="4" fillId="0" borderId="55" xfId="0" applyNumberFormat="1" applyFont="1" applyFill="1" applyBorder="1"/>
    <xf numFmtId="166" fontId="4" fillId="0" borderId="3" xfId="12" applyNumberFormat="1" applyFont="1" applyBorder="1" applyAlignment="1">
      <alignment horizontal="right"/>
    </xf>
    <xf numFmtId="166" fontId="4" fillId="0" borderId="3" xfId="12" applyNumberFormat="1" applyFont="1" applyBorder="1"/>
    <xf numFmtId="166" fontId="4" fillId="0" borderId="4" xfId="12" applyNumberFormat="1" applyFont="1" applyBorder="1" applyAlignment="1">
      <alignment horizontal="right"/>
    </xf>
    <xf numFmtId="0" fontId="3" fillId="0" borderId="63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70" xfId="0" applyFont="1" applyBorder="1"/>
    <xf numFmtId="0" fontId="3" fillId="0" borderId="70" xfId="0" applyFont="1" applyBorder="1"/>
    <xf numFmtId="0" fontId="10" fillId="0" borderId="28" xfId="0" applyFont="1" applyBorder="1" applyAlignment="1">
      <alignment horizontal="left" indent="1"/>
    </xf>
    <xf numFmtId="0" fontId="4" fillId="0" borderId="29" xfId="0" applyFont="1" applyBorder="1" applyAlignment="1">
      <alignment horizontal="left" indent="1"/>
    </xf>
    <xf numFmtId="0" fontId="4" fillId="0" borderId="29" xfId="0" applyFont="1" applyBorder="1" applyAlignment="1">
      <alignment horizontal="left" wrapText="1" indent="1"/>
    </xf>
    <xf numFmtId="0" fontId="3" fillId="0" borderId="29" xfId="0" applyFont="1" applyBorder="1" applyAlignment="1">
      <alignment horizontal="left" indent="1"/>
    </xf>
    <xf numFmtId="0" fontId="10" fillId="0" borderId="29" xfId="0" applyFont="1" applyBorder="1" applyAlignment="1">
      <alignment horizontal="left" indent="1"/>
    </xf>
    <xf numFmtId="0" fontId="3" fillId="0" borderId="38" xfId="0" applyFont="1" applyBorder="1" applyAlignment="1">
      <alignment horizontal="left" indent="1"/>
    </xf>
    <xf numFmtId="0" fontId="3" fillId="0" borderId="71" xfId="0" applyFont="1" applyBorder="1"/>
    <xf numFmtId="0" fontId="4" fillId="0" borderId="72" xfId="0" applyFont="1" applyBorder="1"/>
    <xf numFmtId="0" fontId="3" fillId="0" borderId="26" xfId="0" applyFont="1" applyBorder="1" applyAlignment="1">
      <alignment horizontal="left" indent="1"/>
    </xf>
    <xf numFmtId="0" fontId="4" fillId="0" borderId="28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6" xfId="0" applyFont="1" applyBorder="1" applyAlignment="1">
      <alignment horizontal="right"/>
    </xf>
    <xf numFmtId="0" fontId="3" fillId="0" borderId="38" xfId="0" applyFont="1" applyBorder="1" applyAlignment="1">
      <alignment horizontal="center"/>
    </xf>
    <xf numFmtId="0" fontId="3" fillId="0" borderId="71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73" xfId="0" applyFont="1" applyBorder="1"/>
    <xf numFmtId="0" fontId="4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10" fillId="0" borderId="2" xfId="0" applyFont="1" applyBorder="1" applyAlignment="1">
      <alignment horizontal="left" indent="1"/>
    </xf>
    <xf numFmtId="0" fontId="3" fillId="0" borderId="51" xfId="0" applyFont="1" applyBorder="1" applyAlignment="1">
      <alignment horizontal="left" indent="1"/>
    </xf>
    <xf numFmtId="0" fontId="3" fillId="0" borderId="74" xfId="0" applyFont="1" applyBorder="1"/>
    <xf numFmtId="0" fontId="3" fillId="0" borderId="75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53" xfId="0" applyFont="1" applyBorder="1" applyAlignment="1">
      <alignment horizontal="left" indent="1"/>
    </xf>
    <xf numFmtId="3" fontId="4" fillId="2" borderId="15" xfId="1" applyNumberFormat="1" applyFont="1" applyFill="1" applyBorder="1" applyAlignment="1">
      <alignment horizontal="right"/>
    </xf>
    <xf numFmtId="0" fontId="4" fillId="0" borderId="46" xfId="0" applyFont="1" applyBorder="1" applyAlignment="1">
      <alignment horizontal="center"/>
    </xf>
    <xf numFmtId="166" fontId="3" fillId="0" borderId="3" xfId="12" applyNumberFormat="1" applyFont="1" applyFill="1" applyBorder="1" applyAlignment="1">
      <alignment horizontal="right"/>
    </xf>
    <xf numFmtId="0" fontId="4" fillId="0" borderId="54" xfId="0" applyFont="1" applyFill="1" applyBorder="1"/>
    <xf numFmtId="0" fontId="3" fillId="0" borderId="55" xfId="0" applyFont="1" applyFill="1" applyBorder="1" applyAlignment="1">
      <alignment horizontal="right"/>
    </xf>
    <xf numFmtId="0" fontId="3" fillId="0" borderId="5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right"/>
    </xf>
    <xf numFmtId="166" fontId="4" fillId="0" borderId="21" xfId="0" applyNumberFormat="1" applyFont="1" applyFill="1" applyBorder="1" applyAlignment="1">
      <alignment horizontal="right"/>
    </xf>
    <xf numFmtId="0" fontId="3" fillId="0" borderId="76" xfId="0" applyFont="1" applyFill="1" applyBorder="1" applyAlignment="1">
      <alignment horizontal="center"/>
    </xf>
    <xf numFmtId="164" fontId="4" fillId="0" borderId="23" xfId="3" applyNumberFormat="1" applyFont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0" fontId="4" fillId="0" borderId="77" xfId="0" applyFont="1" applyFill="1" applyBorder="1"/>
    <xf numFmtId="5" fontId="4" fillId="0" borderId="16" xfId="0" applyNumberFormat="1" applyFont="1" applyBorder="1" applyAlignment="1">
      <alignment horizontal="right"/>
    </xf>
    <xf numFmtId="0" fontId="3" fillId="0" borderId="59" xfId="0" applyFont="1" applyFill="1" applyBorder="1"/>
    <xf numFmtId="164" fontId="4" fillId="0" borderId="57" xfId="0" applyNumberFormat="1" applyFont="1" applyFill="1" applyBorder="1" applyAlignment="1">
      <alignment horizontal="center"/>
    </xf>
    <xf numFmtId="164" fontId="4" fillId="0" borderId="35" xfId="3" applyNumberFormat="1" applyFont="1" applyBorder="1" applyAlignment="1">
      <alignment horizontal="right"/>
    </xf>
    <xf numFmtId="3" fontId="4" fillId="0" borderId="15" xfId="1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164" fontId="4" fillId="0" borderId="15" xfId="3" applyNumberFormat="1" applyFont="1" applyFill="1" applyBorder="1" applyAlignment="1">
      <alignment horizontal="center"/>
    </xf>
    <xf numFmtId="164" fontId="4" fillId="0" borderId="36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/>
    </xf>
    <xf numFmtId="3" fontId="4" fillId="0" borderId="33" xfId="1" applyNumberFormat="1" applyFont="1" applyFill="1" applyBorder="1" applyAlignment="1">
      <alignment horizontal="right"/>
    </xf>
    <xf numFmtId="3" fontId="4" fillId="0" borderId="3" xfId="1" applyNumberFormat="1" applyFont="1" applyFill="1" applyBorder="1"/>
    <xf numFmtId="3" fontId="4" fillId="0" borderId="67" xfId="1" applyNumberFormat="1" applyFont="1" applyFill="1" applyBorder="1"/>
    <xf numFmtId="3" fontId="4" fillId="0" borderId="4" xfId="1" applyNumberFormat="1" applyFont="1" applyFill="1" applyBorder="1" applyAlignment="1">
      <alignment horizontal="right"/>
    </xf>
    <xf numFmtId="0" fontId="4" fillId="0" borderId="7" xfId="0" applyFont="1" applyFill="1" applyBorder="1"/>
    <xf numFmtId="0" fontId="4" fillId="0" borderId="8" xfId="0" applyFont="1" applyFill="1" applyBorder="1"/>
    <xf numFmtId="3" fontId="4" fillId="0" borderId="52" xfId="1" applyNumberFormat="1" applyFont="1" applyFill="1" applyBorder="1" applyAlignment="1">
      <alignment horizontal="right"/>
    </xf>
    <xf numFmtId="0" fontId="5" fillId="0" borderId="29" xfId="0" applyFont="1" applyFill="1" applyBorder="1"/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right"/>
    </xf>
    <xf numFmtId="0" fontId="5" fillId="0" borderId="28" xfId="0" applyFont="1" applyFill="1" applyBorder="1"/>
    <xf numFmtId="0" fontId="9" fillId="0" borderId="0" xfId="0" applyFont="1" applyFill="1" applyBorder="1" applyAlignment="1">
      <alignment horizontal="left"/>
    </xf>
    <xf numFmtId="0" fontId="3" fillId="0" borderId="78" xfId="0" applyFont="1" applyBorder="1" applyAlignment="1">
      <alignment horizontal="centerContinuous"/>
    </xf>
    <xf numFmtId="0" fontId="3" fillId="0" borderId="79" xfId="0" applyFont="1" applyBorder="1" applyAlignment="1">
      <alignment horizontal="centerContinuous"/>
    </xf>
    <xf numFmtId="0" fontId="3" fillId="0" borderId="80" xfId="0" applyFont="1" applyBorder="1" applyAlignment="1">
      <alignment horizontal="centerContinuous"/>
    </xf>
    <xf numFmtId="0" fontId="3" fillId="0" borderId="81" xfId="0" applyFont="1" applyFill="1" applyBorder="1" applyAlignment="1">
      <alignment horizontal="centerContinuous"/>
    </xf>
    <xf numFmtId="0" fontId="3" fillId="0" borderId="3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35" xfId="0" applyFont="1" applyFill="1" applyBorder="1"/>
    <xf numFmtId="3" fontId="4" fillId="0" borderId="36" xfId="1" applyNumberFormat="1" applyFont="1" applyFill="1" applyBorder="1" applyAlignment="1">
      <alignment horizontal="right"/>
    </xf>
    <xf numFmtId="3" fontId="4" fillId="0" borderId="36" xfId="0" applyNumberFormat="1" applyFont="1" applyFill="1" applyBorder="1"/>
    <xf numFmtId="3" fontId="3" fillId="0" borderId="56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4" fillId="0" borderId="58" xfId="0" applyFont="1" applyFill="1" applyBorder="1"/>
    <xf numFmtId="164" fontId="4" fillId="0" borderId="58" xfId="0" applyNumberFormat="1" applyFont="1" applyFill="1" applyBorder="1" applyAlignment="1">
      <alignment horizontal="center"/>
    </xf>
    <xf numFmtId="0" fontId="4" fillId="0" borderId="36" xfId="0" applyNumberFormat="1" applyFont="1" applyFill="1" applyBorder="1"/>
    <xf numFmtId="0" fontId="4" fillId="0" borderId="61" xfId="0" applyNumberFormat="1" applyFont="1" applyFill="1" applyBorder="1"/>
    <xf numFmtId="0" fontId="4" fillId="0" borderId="58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3" fontId="4" fillId="0" borderId="36" xfId="1" applyNumberFormat="1" applyFont="1" applyFill="1" applyBorder="1"/>
    <xf numFmtId="3" fontId="3" fillId="0" borderId="56" xfId="0" applyNumberFormat="1" applyFont="1" applyFill="1" applyBorder="1"/>
    <xf numFmtId="0" fontId="3" fillId="0" borderId="78" xfId="0" applyFont="1" applyFill="1" applyBorder="1" applyAlignment="1">
      <alignment horizontal="centerContinuous"/>
    </xf>
    <xf numFmtId="0" fontId="3" fillId="0" borderId="2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43" xfId="0" applyFont="1" applyFill="1" applyBorder="1"/>
    <xf numFmtId="166" fontId="4" fillId="0" borderId="18" xfId="12" applyNumberFormat="1" applyFont="1" applyBorder="1"/>
    <xf numFmtId="0" fontId="3" fillId="0" borderId="46" xfId="0" applyFont="1" applyFill="1" applyBorder="1" applyAlignment="1">
      <alignment horizontal="right"/>
    </xf>
    <xf numFmtId="164" fontId="4" fillId="0" borderId="48" xfId="0" applyNumberFormat="1" applyFont="1" applyFill="1" applyBorder="1" applyAlignment="1">
      <alignment horizontal="center"/>
    </xf>
    <xf numFmtId="0" fontId="4" fillId="0" borderId="36" xfId="0" applyFont="1" applyFill="1" applyBorder="1"/>
    <xf numFmtId="0" fontId="3" fillId="0" borderId="23" xfId="0" applyFont="1" applyFill="1" applyBorder="1"/>
    <xf numFmtId="0" fontId="3" fillId="0" borderId="6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169" fontId="11" fillId="0" borderId="16" xfId="0" applyNumberFormat="1" applyFont="1" applyFill="1" applyBorder="1"/>
    <xf numFmtId="169" fontId="11" fillId="0" borderId="23" xfId="0" applyNumberFormat="1" applyFont="1" applyFill="1" applyBorder="1"/>
    <xf numFmtId="164" fontId="4" fillId="0" borderId="15" xfId="0" applyNumberFormat="1" applyFont="1" applyFill="1" applyBorder="1" applyAlignment="1">
      <alignment horizontal="right"/>
    </xf>
    <xf numFmtId="0" fontId="5" fillId="0" borderId="38" xfId="0" applyFont="1" applyBorder="1" applyAlignment="1">
      <alignment horizontal="left"/>
    </xf>
    <xf numFmtId="0" fontId="4" fillId="2" borderId="54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33" xfId="0" applyFont="1" applyFill="1" applyBorder="1" applyAlignment="1">
      <alignment horizontal="right"/>
    </xf>
    <xf numFmtId="0" fontId="4" fillId="0" borderId="3" xfId="0" applyFont="1" applyFill="1" applyBorder="1"/>
    <xf numFmtId="0" fontId="4" fillId="0" borderId="67" xfId="0" applyFont="1" applyFill="1" applyBorder="1"/>
    <xf numFmtId="3" fontId="4" fillId="0" borderId="15" xfId="1" applyNumberFormat="1" applyFont="1" applyFill="1" applyBorder="1"/>
    <xf numFmtId="3" fontId="3" fillId="0" borderId="22" xfId="0" applyNumberFormat="1" applyFont="1" applyFill="1" applyBorder="1"/>
    <xf numFmtId="0" fontId="4" fillId="0" borderId="46" xfId="0" applyNumberFormat="1" applyFont="1" applyFill="1" applyBorder="1"/>
    <xf numFmtId="0" fontId="4" fillId="0" borderId="48" xfId="0" applyFont="1" applyFill="1" applyBorder="1" applyAlignment="1">
      <alignment horizontal="center"/>
    </xf>
    <xf numFmtId="5" fontId="4" fillId="0" borderId="16" xfId="0" applyNumberFormat="1" applyFont="1" applyFill="1" applyBorder="1" applyAlignment="1">
      <alignment horizontal="right"/>
    </xf>
    <xf numFmtId="169" fontId="4" fillId="0" borderId="23" xfId="0" applyNumberFormat="1" applyFont="1" applyFill="1" applyBorder="1" applyAlignment="1">
      <alignment horizontal="right"/>
    </xf>
    <xf numFmtId="3" fontId="4" fillId="0" borderId="15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4" xfId="0" applyFont="1" applyFill="1" applyBorder="1"/>
    <xf numFmtId="3" fontId="3" fillId="0" borderId="23" xfId="0" applyNumberFormat="1" applyFont="1" applyFill="1" applyBorder="1"/>
    <xf numFmtId="0" fontId="4" fillId="0" borderId="4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Continuous"/>
    </xf>
    <xf numFmtId="0" fontId="3" fillId="0" borderId="0" xfId="0" applyFont="1" applyFill="1" applyBorder="1"/>
    <xf numFmtId="3" fontId="3" fillId="0" borderId="0" xfId="0" applyNumberFormat="1" applyFont="1" applyFill="1" applyBorder="1"/>
    <xf numFmtId="169" fontId="11" fillId="0" borderId="31" xfId="0" applyNumberFormat="1" applyFont="1" applyFill="1" applyBorder="1"/>
    <xf numFmtId="169" fontId="11" fillId="0" borderId="55" xfId="0" applyNumberFormat="1" applyFont="1" applyFill="1" applyBorder="1"/>
    <xf numFmtId="164" fontId="4" fillId="0" borderId="35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right"/>
    </xf>
    <xf numFmtId="164" fontId="4" fillId="0" borderId="35" xfId="0" applyNumberFormat="1" applyFont="1" applyFill="1" applyBorder="1" applyAlignment="1">
      <alignment horizontal="right"/>
    </xf>
    <xf numFmtId="0" fontId="4" fillId="0" borderId="0" xfId="0" applyFont="1" applyAlignment="1">
      <alignment horizontal="centerContinuous"/>
    </xf>
    <xf numFmtId="3" fontId="4" fillId="0" borderId="55" xfId="1" applyNumberFormat="1" applyFont="1" applyFill="1" applyBorder="1" applyAlignment="1">
      <alignment horizontal="right"/>
    </xf>
    <xf numFmtId="3" fontId="4" fillId="0" borderId="24" xfId="1" applyNumberFormat="1" applyFont="1" applyFill="1" applyBorder="1" applyAlignment="1">
      <alignment horizontal="right"/>
    </xf>
    <xf numFmtId="0" fontId="4" fillId="0" borderId="0" xfId="0" applyFont="1" applyBorder="1" applyAlignment="1"/>
    <xf numFmtId="0" fontId="4" fillId="0" borderId="63" xfId="0" applyFont="1" applyFill="1" applyBorder="1"/>
    <xf numFmtId="169" fontId="4" fillId="0" borderId="36" xfId="0" applyNumberFormat="1" applyFont="1" applyBorder="1" applyAlignment="1">
      <alignment horizontal="right"/>
    </xf>
    <xf numFmtId="169" fontId="4" fillId="0" borderId="36" xfId="0" applyNumberFormat="1" applyFont="1" applyBorder="1"/>
    <xf numFmtId="169" fontId="4" fillId="0" borderId="37" xfId="0" applyNumberFormat="1" applyFont="1" applyBorder="1" applyAlignment="1">
      <alignment horizontal="right"/>
    </xf>
    <xf numFmtId="169" fontId="4" fillId="0" borderId="36" xfId="0" applyNumberFormat="1" applyFont="1" applyFill="1" applyBorder="1"/>
    <xf numFmtId="173" fontId="4" fillId="0" borderId="37" xfId="0" applyNumberFormat="1" applyFont="1" applyFill="1" applyBorder="1" applyAlignment="1">
      <alignment horizontal="right"/>
    </xf>
    <xf numFmtId="169" fontId="4" fillId="0" borderId="15" xfId="0" applyNumberFormat="1" applyFont="1" applyFill="1" applyBorder="1"/>
    <xf numFmtId="173" fontId="4" fillId="0" borderId="22" xfId="0" applyNumberFormat="1" applyFont="1" applyFill="1" applyBorder="1" applyAlignment="1">
      <alignment horizontal="right"/>
    </xf>
    <xf numFmtId="169" fontId="4" fillId="0" borderId="46" xfId="0" applyNumberFormat="1" applyFont="1" applyFill="1" applyBorder="1"/>
    <xf numFmtId="169" fontId="4" fillId="0" borderId="46" xfId="0" applyNumberFormat="1" applyFont="1" applyFill="1" applyBorder="1" applyAlignment="1">
      <alignment horizontal="right"/>
    </xf>
    <xf numFmtId="169" fontId="4" fillId="0" borderId="15" xfId="0" applyNumberFormat="1" applyFont="1" applyBorder="1"/>
    <xf numFmtId="3" fontId="4" fillId="0" borderId="18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0" fontId="4" fillId="0" borderId="33" xfId="0" applyFont="1" applyFill="1" applyBorder="1"/>
    <xf numFmtId="0" fontId="4" fillId="0" borderId="34" xfId="0" applyFont="1" applyFill="1" applyBorder="1"/>
    <xf numFmtId="5" fontId="4" fillId="0" borderId="35" xfId="0" applyNumberFormat="1" applyFont="1" applyFill="1" applyBorder="1" applyAlignment="1">
      <alignment horizontal="right"/>
    </xf>
    <xf numFmtId="169" fontId="4" fillId="0" borderId="56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69" fontId="4" fillId="0" borderId="15" xfId="0" applyNumberFormat="1" applyFont="1" applyFill="1" applyBorder="1" applyAlignment="1">
      <alignment horizontal="right"/>
    </xf>
    <xf numFmtId="169" fontId="4" fillId="0" borderId="22" xfId="0" applyNumberFormat="1" applyFont="1" applyFill="1" applyBorder="1" applyAlignment="1">
      <alignment horizontal="right"/>
    </xf>
    <xf numFmtId="164" fontId="4" fillId="0" borderId="36" xfId="0" applyNumberFormat="1" applyFont="1" applyFill="1" applyBorder="1" applyAlignment="1">
      <alignment horizontal="right"/>
    </xf>
    <xf numFmtId="0" fontId="4" fillId="0" borderId="50" xfId="0" applyFont="1" applyBorder="1"/>
    <xf numFmtId="0" fontId="4" fillId="0" borderId="6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21" xfId="0" applyFont="1" applyFill="1" applyBorder="1"/>
    <xf numFmtId="0" fontId="4" fillId="0" borderId="52" xfId="0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34" xfId="0" applyNumberFormat="1" applyFont="1" applyFill="1" applyBorder="1" applyAlignment="1">
      <alignment horizontal="right"/>
    </xf>
    <xf numFmtId="3" fontId="4" fillId="0" borderId="33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0" fontId="4" fillId="0" borderId="46" xfId="0" applyFont="1" applyFill="1" applyBorder="1"/>
    <xf numFmtId="164" fontId="11" fillId="0" borderId="16" xfId="0" applyNumberFormat="1" applyFont="1" applyFill="1" applyBorder="1"/>
    <xf numFmtId="164" fontId="11" fillId="0" borderId="31" xfId="0" applyNumberFormat="1" applyFont="1" applyFill="1" applyBorder="1"/>
    <xf numFmtId="164" fontId="11" fillId="0" borderId="23" xfId="0" applyNumberFormat="1" applyFont="1" applyFill="1" applyBorder="1"/>
    <xf numFmtId="164" fontId="11" fillId="0" borderId="23" xfId="3" applyNumberFormat="1" applyFont="1" applyFill="1" applyBorder="1" applyAlignment="1">
      <alignment horizontal="right"/>
    </xf>
    <xf numFmtId="164" fontId="11" fillId="0" borderId="55" xfId="0" applyNumberFormat="1" applyFont="1" applyFill="1" applyBorder="1"/>
    <xf numFmtId="172" fontId="11" fillId="0" borderId="62" xfId="0" applyNumberFormat="1" applyFont="1" applyFill="1" applyBorder="1"/>
    <xf numFmtId="164" fontId="11" fillId="0" borderId="56" xfId="3" applyNumberFormat="1" applyFont="1" applyFill="1" applyBorder="1" applyAlignment="1">
      <alignment horizontal="right"/>
    </xf>
    <xf numFmtId="169" fontId="11" fillId="0" borderId="0" xfId="0" applyNumberFormat="1" applyFont="1" applyFill="1"/>
    <xf numFmtId="0" fontId="4" fillId="0" borderId="24" xfId="0" applyFont="1" applyFill="1" applyBorder="1"/>
    <xf numFmtId="0" fontId="4" fillId="0" borderId="32" xfId="0" applyNumberFormat="1" applyFont="1" applyBorder="1" applyAlignment="1">
      <alignment horizontal="center"/>
    </xf>
    <xf numFmtId="164" fontId="4" fillId="0" borderId="63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164" fontId="4" fillId="0" borderId="46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164" fontId="4" fillId="0" borderId="46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64" fontId="4" fillId="0" borderId="32" xfId="0" applyNumberFormat="1" applyFont="1" applyBorder="1" applyAlignment="1">
      <alignment horizontal="right"/>
    </xf>
    <xf numFmtId="164" fontId="4" fillId="0" borderId="15" xfId="3" applyNumberFormat="1" applyFont="1" applyFill="1" applyBorder="1" applyAlignment="1">
      <alignment horizontal="right"/>
    </xf>
    <xf numFmtId="164" fontId="4" fillId="0" borderId="32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164" fontId="4" fillId="0" borderId="59" xfId="0" applyNumberFormat="1" applyFont="1" applyFill="1" applyBorder="1" applyAlignment="1">
      <alignment horizontal="right"/>
    </xf>
    <xf numFmtId="0" fontId="4" fillId="0" borderId="32" xfId="0" applyNumberFormat="1" applyFont="1" applyFill="1" applyBorder="1" applyAlignment="1">
      <alignment horizontal="center"/>
    </xf>
    <xf numFmtId="164" fontId="4" fillId="0" borderId="63" xfId="0" applyNumberFormat="1" applyFont="1" applyFill="1" applyBorder="1" applyAlignment="1">
      <alignment horizontal="center"/>
    </xf>
    <xf numFmtId="1" fontId="4" fillId="0" borderId="63" xfId="0" applyNumberFormat="1" applyFont="1" applyFill="1" applyBorder="1" applyAlignment="1">
      <alignment horizontal="center"/>
    </xf>
    <xf numFmtId="164" fontId="4" fillId="0" borderId="61" xfId="3" applyNumberFormat="1" applyFont="1" applyFill="1" applyBorder="1" applyAlignment="1">
      <alignment horizontal="right"/>
    </xf>
    <xf numFmtId="1" fontId="4" fillId="0" borderId="46" xfId="0" applyNumberFormat="1" applyFont="1" applyFill="1" applyBorder="1" applyAlignment="1">
      <alignment horizontal="center"/>
    </xf>
    <xf numFmtId="3" fontId="3" fillId="0" borderId="37" xfId="0" applyNumberFormat="1" applyFont="1" applyFill="1" applyBorder="1"/>
    <xf numFmtId="5" fontId="4" fillId="0" borderId="37" xfId="0" applyNumberFormat="1" applyFont="1" applyBorder="1" applyAlignment="1"/>
    <xf numFmtId="1" fontId="4" fillId="0" borderId="59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0" fontId="4" fillId="0" borderId="59" xfId="0" applyNumberFormat="1" applyFont="1" applyFill="1" applyBorder="1" applyAlignment="1">
      <alignment horizontal="center"/>
    </xf>
    <xf numFmtId="3" fontId="4" fillId="0" borderId="35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4" fillId="0" borderId="82" xfId="1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right"/>
    </xf>
    <xf numFmtId="1" fontId="4" fillId="0" borderId="22" xfId="0" applyNumberFormat="1" applyFont="1" applyFill="1" applyBorder="1" applyAlignment="1">
      <alignment horizontal="right"/>
    </xf>
    <xf numFmtId="3" fontId="4" fillId="0" borderId="6" xfId="1" applyNumberFormat="1" applyFont="1" applyFill="1" applyBorder="1" applyAlignment="1">
      <alignment horizontal="right"/>
    </xf>
    <xf numFmtId="3" fontId="4" fillId="0" borderId="68" xfId="1" applyNumberFormat="1" applyFont="1" applyFill="1" applyBorder="1" applyAlignment="1">
      <alignment horizontal="right"/>
    </xf>
    <xf numFmtId="0" fontId="4" fillId="0" borderId="44" xfId="0" applyFont="1" applyBorder="1"/>
    <xf numFmtId="0" fontId="3" fillId="0" borderId="72" xfId="0" applyFont="1" applyBorder="1"/>
    <xf numFmtId="0" fontId="4" fillId="0" borderId="28" xfId="0" applyFont="1" applyBorder="1" applyAlignment="1">
      <alignment horizontal="left" indent="1"/>
    </xf>
    <xf numFmtId="0" fontId="4" fillId="0" borderId="30" xfId="0" applyFont="1" applyBorder="1" applyAlignment="1">
      <alignment horizontal="left" indent="1"/>
    </xf>
    <xf numFmtId="166" fontId="4" fillId="0" borderId="36" xfId="1" applyNumberFormat="1" applyFont="1" applyFill="1" applyBorder="1" applyAlignment="1">
      <alignment horizontal="right"/>
    </xf>
    <xf numFmtId="0" fontId="3" fillId="0" borderId="68" xfId="0" applyFont="1" applyFill="1" applyBorder="1" applyAlignment="1">
      <alignment horizontal="center"/>
    </xf>
    <xf numFmtId="166" fontId="4" fillId="0" borderId="56" xfId="1" applyNumberFormat="1" applyFont="1" applyFill="1" applyBorder="1" applyAlignment="1">
      <alignment horizontal="right"/>
    </xf>
    <xf numFmtId="3" fontId="4" fillId="0" borderId="0" xfId="0" applyNumberFormat="1" applyFont="1" applyBorder="1"/>
    <xf numFmtId="0" fontId="3" fillId="0" borderId="16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right"/>
    </xf>
    <xf numFmtId="173" fontId="11" fillId="0" borderId="0" xfId="0" applyNumberFormat="1" applyFont="1" applyFill="1" applyBorder="1"/>
    <xf numFmtId="0" fontId="4" fillId="0" borderId="1" xfId="0" applyFont="1" applyFill="1" applyBorder="1" applyAlignment="1">
      <alignment horizontal="right"/>
    </xf>
    <xf numFmtId="166" fontId="4" fillId="0" borderId="3" xfId="1" applyNumberFormat="1" applyFont="1" applyFill="1" applyBorder="1" applyAlignment="1">
      <alignment horizontal="right"/>
    </xf>
    <xf numFmtId="3" fontId="4" fillId="0" borderId="3" xfId="1" applyNumberFormat="1" applyFont="1" applyFill="1" applyBorder="1" applyAlignment="1">
      <alignment horizontal="right"/>
    </xf>
    <xf numFmtId="166" fontId="4" fillId="0" borderId="4" xfId="1" applyNumberFormat="1" applyFont="1" applyFill="1" applyBorder="1" applyAlignment="1">
      <alignment horizontal="right"/>
    </xf>
    <xf numFmtId="3" fontId="4" fillId="0" borderId="46" xfId="1" applyNumberFormat="1" applyFont="1" applyFill="1" applyBorder="1"/>
    <xf numFmtId="166" fontId="4" fillId="0" borderId="3" xfId="12" applyNumberFormat="1" applyFont="1" applyFill="1" applyBorder="1"/>
    <xf numFmtId="0" fontId="4" fillId="2" borderId="39" xfId="0" applyFont="1" applyFill="1" applyBorder="1" applyAlignment="1">
      <alignment horizontal="right"/>
    </xf>
    <xf numFmtId="0" fontId="4" fillId="2" borderId="34" xfId="0" applyFont="1" applyFill="1" applyBorder="1" applyAlignment="1">
      <alignment horizontal="center"/>
    </xf>
    <xf numFmtId="0" fontId="4" fillId="2" borderId="7" xfId="0" applyFont="1" applyFill="1" applyBorder="1"/>
    <xf numFmtId="0" fontId="4" fillId="0" borderId="63" xfId="0" applyNumberFormat="1" applyFont="1" applyFill="1" applyBorder="1" applyAlignment="1">
      <alignment horizontal="center"/>
    </xf>
    <xf numFmtId="0" fontId="4" fillId="0" borderId="61" xfId="0" applyFont="1" applyBorder="1"/>
    <xf numFmtId="169" fontId="4" fillId="0" borderId="36" xfId="0" applyNumberFormat="1" applyFont="1" applyFill="1" applyBorder="1" applyAlignment="1">
      <alignment horizontal="right"/>
    </xf>
    <xf numFmtId="169" fontId="4" fillId="0" borderId="61" xfId="0" applyNumberFormat="1" applyFont="1" applyFill="1" applyBorder="1" applyAlignment="1">
      <alignment horizontal="right"/>
    </xf>
    <xf numFmtId="169" fontId="4" fillId="0" borderId="37" xfId="0" applyNumberFormat="1" applyFont="1" applyFill="1" applyBorder="1" applyAlignment="1">
      <alignment horizontal="right"/>
    </xf>
    <xf numFmtId="1" fontId="4" fillId="0" borderId="83" xfId="0" applyNumberFormat="1" applyFont="1" applyBorder="1" applyAlignment="1">
      <alignment horizontal="center"/>
    </xf>
    <xf numFmtId="169" fontId="3" fillId="0" borderId="74" xfId="0" applyNumberFormat="1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3" fontId="4" fillId="0" borderId="0" xfId="1" applyNumberFormat="1" applyFont="1" applyBorder="1" applyAlignment="1">
      <alignment horizontal="center"/>
    </xf>
    <xf numFmtId="166" fontId="4" fillId="0" borderId="62" xfId="12" applyNumberFormat="1" applyFont="1" applyFill="1" applyBorder="1" applyAlignment="1">
      <alignment horizontal="center"/>
    </xf>
    <xf numFmtId="166" fontId="4" fillId="0" borderId="50" xfId="12" applyNumberFormat="1" applyFont="1" applyFill="1" applyBorder="1" applyAlignment="1">
      <alignment horizontal="center"/>
    </xf>
    <xf numFmtId="1" fontId="4" fillId="0" borderId="0" xfId="12" applyNumberFormat="1" applyFont="1" applyFill="1" applyBorder="1" applyAlignment="1">
      <alignment horizontal="center"/>
    </xf>
    <xf numFmtId="2" fontId="4" fillId="0" borderId="62" xfId="12" applyNumberFormat="1" applyFont="1" applyFill="1" applyBorder="1" applyAlignment="1">
      <alignment horizontal="center"/>
    </xf>
    <xf numFmtId="0" fontId="4" fillId="0" borderId="84" xfId="0" applyFont="1" applyBorder="1" applyAlignment="1">
      <alignment horizontal="right"/>
    </xf>
    <xf numFmtId="2" fontId="4" fillId="0" borderId="85" xfId="12" applyNumberFormat="1" applyFont="1" applyFill="1" applyBorder="1" applyAlignment="1">
      <alignment horizontal="center"/>
    </xf>
    <xf numFmtId="0" fontId="15" fillId="0" borderId="0" xfId="11" applyFont="1" applyBorder="1"/>
    <xf numFmtId="0" fontId="4" fillId="0" borderId="27" xfId="0" applyFont="1" applyBorder="1" applyAlignment="1">
      <alignment horizontal="right"/>
    </xf>
    <xf numFmtId="0" fontId="0" fillId="0" borderId="50" xfId="0" applyBorder="1" applyAlignment="1">
      <alignment horizontal="center"/>
    </xf>
    <xf numFmtId="0" fontId="3" fillId="0" borderId="28" xfId="0" applyFont="1" applyBorder="1" applyAlignment="1">
      <alignment horizontal="left"/>
    </xf>
    <xf numFmtId="0" fontId="0" fillId="0" borderId="62" xfId="0" applyBorder="1" applyAlignment="1"/>
    <xf numFmtId="0" fontId="3" fillId="2" borderId="0" xfId="11" quotePrefix="1" applyFont="1" applyFill="1" applyBorder="1" applyAlignment="1">
      <alignment horizontal="center"/>
    </xf>
    <xf numFmtId="0" fontId="0" fillId="2" borderId="86" xfId="0" applyFill="1" applyBorder="1" applyAlignment="1"/>
    <xf numFmtId="0" fontId="3" fillId="2" borderId="0" xfId="11" applyFont="1" applyFill="1" applyBorder="1" applyAlignment="1">
      <alignment horizontal="center"/>
    </xf>
    <xf numFmtId="0" fontId="0" fillId="2" borderId="86" xfId="0" applyFill="1" applyBorder="1" applyAlignment="1">
      <alignment horizontal="center"/>
    </xf>
    <xf numFmtId="0" fontId="3" fillId="0" borderId="0" xfId="11" applyFont="1" applyBorder="1" applyAlignment="1">
      <alignment horizontal="center"/>
    </xf>
    <xf numFmtId="0" fontId="4" fillId="2" borderId="0" xfId="0" applyFont="1" applyFill="1"/>
    <xf numFmtId="0" fontId="4" fillId="2" borderId="86" xfId="0" applyFont="1" applyFill="1" applyBorder="1"/>
    <xf numFmtId="0" fontId="4" fillId="0" borderId="87" xfId="0" applyFont="1" applyBorder="1"/>
    <xf numFmtId="0" fontId="4" fillId="0" borderId="35" xfId="11" applyFont="1" applyBorder="1"/>
    <xf numFmtId="170" fontId="4" fillId="2" borderId="0" xfId="11" applyNumberFormat="1" applyFont="1" applyFill="1" applyBorder="1" applyAlignment="1">
      <alignment horizontal="right"/>
    </xf>
    <xf numFmtId="170" fontId="4" fillId="2" borderId="62" xfId="11" applyNumberFormat="1" applyFont="1" applyFill="1" applyBorder="1" applyAlignment="1">
      <alignment horizontal="right"/>
    </xf>
    <xf numFmtId="170" fontId="4" fillId="2" borderId="0" xfId="0" applyNumberFormat="1" applyFont="1" applyFill="1"/>
    <xf numFmtId="170" fontId="4" fillId="2" borderId="62" xfId="0" applyNumberFormat="1" applyFont="1" applyFill="1" applyBorder="1"/>
    <xf numFmtId="0" fontId="4" fillId="2" borderId="0" xfId="0" applyFont="1" applyFill="1" applyBorder="1"/>
    <xf numFmtId="0" fontId="4" fillId="2" borderId="62" xfId="11" applyFont="1" applyFill="1" applyBorder="1" applyAlignment="1"/>
    <xf numFmtId="170" fontId="4" fillId="0" borderId="50" xfId="0" applyNumberFormat="1" applyFont="1" applyBorder="1"/>
    <xf numFmtId="0" fontId="4" fillId="0" borderId="62" xfId="11" applyFont="1" applyBorder="1"/>
    <xf numFmtId="0" fontId="4" fillId="0" borderId="36" xfId="11" applyFont="1" applyBorder="1"/>
    <xf numFmtId="0" fontId="3" fillId="0" borderId="88" xfId="11" applyFont="1" applyBorder="1"/>
    <xf numFmtId="0" fontId="4" fillId="2" borderId="0" xfId="11" applyFont="1" applyFill="1" applyBorder="1" applyAlignment="1">
      <alignment horizontal="right"/>
    </xf>
    <xf numFmtId="0" fontId="4" fillId="2" borderId="62" xfId="11" applyFont="1" applyFill="1" applyBorder="1" applyAlignment="1">
      <alignment horizontal="right"/>
    </xf>
    <xf numFmtId="0" fontId="4" fillId="2" borderId="62" xfId="0" applyFont="1" applyFill="1" applyBorder="1"/>
    <xf numFmtId="3" fontId="4" fillId="2" borderId="0" xfId="11" applyNumberFormat="1" applyFont="1" applyFill="1" applyBorder="1" applyAlignment="1">
      <alignment horizontal="right"/>
    </xf>
    <xf numFmtId="3" fontId="4" fillId="2" borderId="62" xfId="11" applyNumberFormat="1" applyFont="1" applyFill="1" applyBorder="1" applyAlignment="1">
      <alignment horizontal="right"/>
    </xf>
    <xf numFmtId="3" fontId="4" fillId="2" borderId="0" xfId="0" applyNumberFormat="1" applyFont="1" applyFill="1"/>
    <xf numFmtId="3" fontId="4" fillId="2" borderId="62" xfId="0" applyNumberFormat="1" applyFont="1" applyFill="1" applyBorder="1"/>
    <xf numFmtId="1" fontId="4" fillId="2" borderId="0" xfId="11" applyNumberFormat="1" applyFont="1" applyFill="1" applyBorder="1" applyAlignment="1">
      <alignment horizontal="right"/>
    </xf>
    <xf numFmtId="1" fontId="4" fillId="2" borderId="62" xfId="11" applyNumberFormat="1" applyFont="1" applyFill="1" applyBorder="1" applyAlignment="1">
      <alignment horizontal="right"/>
    </xf>
    <xf numFmtId="1" fontId="4" fillId="2" borderId="0" xfId="0" applyNumberFormat="1" applyFont="1" applyFill="1"/>
    <xf numFmtId="1" fontId="4" fillId="2" borderId="62" xfId="0" applyNumberFormat="1" applyFont="1" applyFill="1" applyBorder="1"/>
    <xf numFmtId="1" fontId="4" fillId="2" borderId="0" xfId="0" applyNumberFormat="1" applyFont="1" applyFill="1" applyBorder="1"/>
    <xf numFmtId="1" fontId="4" fillId="2" borderId="62" xfId="11" applyNumberFormat="1" applyFont="1" applyFill="1" applyBorder="1" applyAlignment="1"/>
    <xf numFmtId="1" fontId="4" fillId="0" borderId="89" xfId="0" applyNumberFormat="1" applyFont="1" applyBorder="1"/>
    <xf numFmtId="0" fontId="4" fillId="0" borderId="85" xfId="11" applyFont="1" applyBorder="1"/>
    <xf numFmtId="1" fontId="4" fillId="2" borderId="82" xfId="11" applyNumberFormat="1" applyFont="1" applyFill="1" applyBorder="1" applyAlignment="1">
      <alignment horizontal="right"/>
    </xf>
    <xf numFmtId="1" fontId="4" fillId="2" borderId="85" xfId="11" applyNumberFormat="1" applyFont="1" applyFill="1" applyBorder="1" applyAlignment="1">
      <alignment horizontal="right"/>
    </xf>
    <xf numFmtId="1" fontId="4" fillId="2" borderId="82" xfId="0" applyNumberFormat="1" applyFont="1" applyFill="1" applyBorder="1"/>
    <xf numFmtId="1" fontId="4" fillId="2" borderId="85" xfId="0" applyNumberFormat="1" applyFont="1" applyFill="1" applyBorder="1"/>
    <xf numFmtId="1" fontId="4" fillId="0" borderId="90" xfId="0" applyNumberFormat="1" applyFont="1" applyBorder="1"/>
    <xf numFmtId="0" fontId="3" fillId="0" borderId="91" xfId="11" applyFont="1" applyBorder="1"/>
    <xf numFmtId="0" fontId="4" fillId="0" borderId="92" xfId="11" applyFont="1" applyBorder="1"/>
    <xf numFmtId="166" fontId="4" fillId="0" borderId="57" xfId="13" applyNumberFormat="1" applyFont="1" applyBorder="1"/>
    <xf numFmtId="166" fontId="4" fillId="0" borderId="58" xfId="13" applyNumberFormat="1" applyFont="1" applyBorder="1"/>
    <xf numFmtId="166" fontId="4" fillId="0" borderId="31" xfId="13" applyNumberFormat="1" applyFont="1" applyBorder="1"/>
    <xf numFmtId="1" fontId="4" fillId="0" borderId="44" xfId="0" applyNumberFormat="1" applyFont="1" applyBorder="1"/>
    <xf numFmtId="166" fontId="4" fillId="0" borderId="93" xfId="0" applyNumberFormat="1" applyFont="1" applyBorder="1"/>
    <xf numFmtId="0" fontId="4" fillId="0" borderId="94" xfId="11" applyFont="1" applyBorder="1"/>
    <xf numFmtId="166" fontId="4" fillId="0" borderId="32" xfId="13" applyNumberFormat="1" applyFont="1" applyBorder="1"/>
    <xf numFmtId="166" fontId="4" fillId="0" borderId="36" xfId="13" applyNumberFormat="1" applyFont="1" applyBorder="1"/>
    <xf numFmtId="0" fontId="4" fillId="0" borderId="30" xfId="11" applyFont="1" applyBorder="1"/>
    <xf numFmtId="1" fontId="4" fillId="0" borderId="95" xfId="0" applyNumberFormat="1" applyFont="1" applyBorder="1"/>
    <xf numFmtId="3" fontId="3" fillId="0" borderId="89" xfId="0" applyNumberFormat="1" applyFont="1" applyFill="1" applyBorder="1"/>
    <xf numFmtId="0" fontId="0" fillId="0" borderId="0" xfId="0" applyBorder="1"/>
    <xf numFmtId="166" fontId="4" fillId="0" borderId="86" xfId="12" applyNumberFormat="1" applyFont="1" applyFill="1" applyBorder="1" applyAlignment="1">
      <alignment horizontal="center"/>
    </xf>
    <xf numFmtId="0" fontId="4" fillId="0" borderId="82" xfId="0" applyFont="1" applyBorder="1"/>
    <xf numFmtId="1" fontId="4" fillId="0" borderId="96" xfId="12" applyNumberFormat="1" applyFont="1" applyFill="1" applyBorder="1" applyAlignment="1">
      <alignment horizontal="center"/>
    </xf>
    <xf numFmtId="1" fontId="4" fillId="0" borderId="82" xfId="12" applyNumberFormat="1" applyFont="1" applyFill="1" applyBorder="1" applyAlignment="1">
      <alignment horizontal="center"/>
    </xf>
    <xf numFmtId="0" fontId="4" fillId="0" borderId="89" xfId="0" applyFont="1" applyBorder="1"/>
    <xf numFmtId="0" fontId="4" fillId="0" borderId="90" xfId="0" applyFont="1" applyBorder="1"/>
    <xf numFmtId="3" fontId="4" fillId="0" borderId="89" xfId="1" applyNumberFormat="1" applyFont="1" applyBorder="1" applyAlignment="1">
      <alignment horizontal="center"/>
    </xf>
    <xf numFmtId="3" fontId="4" fillId="0" borderId="89" xfId="0" applyNumberFormat="1" applyFont="1" applyBorder="1" applyAlignment="1">
      <alignment horizontal="center"/>
    </xf>
    <xf numFmtId="3" fontId="4" fillId="0" borderId="90" xfId="0" applyNumberFormat="1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169" fontId="4" fillId="0" borderId="50" xfId="0" applyNumberFormat="1" applyFont="1" applyBorder="1"/>
    <xf numFmtId="169" fontId="4" fillId="0" borderId="99" xfId="0" applyNumberFormat="1" applyFont="1" applyBorder="1"/>
    <xf numFmtId="170" fontId="4" fillId="0" borderId="89" xfId="0" applyNumberFormat="1" applyFont="1" applyBorder="1"/>
    <xf numFmtId="0" fontId="4" fillId="0" borderId="100" xfId="0" applyFont="1" applyBorder="1"/>
    <xf numFmtId="0" fontId="4" fillId="0" borderId="65" xfId="0" applyFont="1" applyBorder="1"/>
    <xf numFmtId="1" fontId="4" fillId="0" borderId="45" xfId="0" applyNumberFormat="1" applyFont="1" applyBorder="1"/>
    <xf numFmtId="1" fontId="4" fillId="0" borderId="101" xfId="0" applyNumberFormat="1" applyFont="1" applyBorder="1"/>
    <xf numFmtId="0" fontId="4" fillId="0" borderId="45" xfId="0" applyFont="1" applyBorder="1"/>
    <xf numFmtId="0" fontId="4" fillId="0" borderId="95" xfId="0" applyFont="1" applyBorder="1"/>
    <xf numFmtId="0" fontId="4" fillId="0" borderId="102" xfId="0" applyFont="1" applyBorder="1"/>
    <xf numFmtId="164" fontId="4" fillId="0" borderId="93" xfId="0" applyNumberFormat="1" applyFont="1" applyBorder="1"/>
    <xf numFmtId="169" fontId="4" fillId="0" borderId="103" xfId="0" applyNumberFormat="1" applyFont="1" applyBorder="1"/>
    <xf numFmtId="169" fontId="4" fillId="0" borderId="93" xfId="0" applyNumberFormat="1" applyFont="1" applyBorder="1"/>
    <xf numFmtId="0" fontId="4" fillId="0" borderId="100" xfId="0" applyFont="1" applyBorder="1" applyAlignment="1">
      <alignment horizontal="center"/>
    </xf>
    <xf numFmtId="169" fontId="4" fillId="0" borderId="101" xfId="0" applyNumberFormat="1" applyFont="1" applyBorder="1"/>
    <xf numFmtId="0" fontId="4" fillId="0" borderId="93" xfId="0" applyFont="1" applyBorder="1"/>
    <xf numFmtId="3" fontId="4" fillId="0" borderId="101" xfId="0" applyNumberFormat="1" applyFont="1" applyBorder="1"/>
    <xf numFmtId="0" fontId="4" fillId="0" borderId="101" xfId="0" applyFont="1" applyBorder="1"/>
    <xf numFmtId="0" fontId="3" fillId="0" borderId="104" xfId="0" applyFont="1" applyBorder="1" applyAlignment="1">
      <alignment horizontal="center"/>
    </xf>
    <xf numFmtId="0" fontId="3" fillId="0" borderId="105" xfId="0" applyFont="1" applyBorder="1" applyAlignment="1">
      <alignment horizontal="center"/>
    </xf>
    <xf numFmtId="170" fontId="4" fillId="0" borderId="45" xfId="0" applyNumberFormat="1" applyFont="1" applyBorder="1"/>
    <xf numFmtId="9" fontId="4" fillId="0" borderId="101" xfId="0" applyNumberFormat="1" applyFont="1" applyBorder="1"/>
    <xf numFmtId="0" fontId="4" fillId="0" borderId="106" xfId="0" applyFont="1" applyBorder="1"/>
    <xf numFmtId="9" fontId="4" fillId="0" borderId="93" xfId="0" applyNumberFormat="1" applyFont="1" applyBorder="1"/>
    <xf numFmtId="0" fontId="0" fillId="0" borderId="44" xfId="0" applyBorder="1"/>
    <xf numFmtId="0" fontId="0" fillId="0" borderId="93" xfId="0" applyBorder="1"/>
    <xf numFmtId="0" fontId="0" fillId="0" borderId="45" xfId="0" applyBorder="1"/>
    <xf numFmtId="0" fontId="0" fillId="0" borderId="101" xfId="0" applyBorder="1"/>
    <xf numFmtId="0" fontId="0" fillId="0" borderId="95" xfId="0" applyBorder="1"/>
    <xf numFmtId="166" fontId="4" fillId="0" borderId="101" xfId="0" applyNumberFormat="1" applyFont="1" applyBorder="1"/>
    <xf numFmtId="0" fontId="7" fillId="0" borderId="50" xfId="0" applyFont="1" applyBorder="1" applyAlignment="1">
      <alignment horizontal="center"/>
    </xf>
    <xf numFmtId="0" fontId="7" fillId="0" borderId="98" xfId="0" applyFont="1" applyBorder="1" applyAlignment="1">
      <alignment horizontal="center"/>
    </xf>
    <xf numFmtId="0" fontId="0" fillId="0" borderId="102" xfId="0" applyBorder="1"/>
    <xf numFmtId="0" fontId="0" fillId="0" borderId="0" xfId="0" applyBorder="1" applyAlignment="1">
      <alignment horizontal="center"/>
    </xf>
    <xf numFmtId="1" fontId="4" fillId="0" borderId="0" xfId="0" applyNumberFormat="1" applyFont="1" applyBorder="1"/>
    <xf numFmtId="0" fontId="4" fillId="0" borderId="1" xfId="0" applyFont="1" applyBorder="1"/>
    <xf numFmtId="0" fontId="3" fillId="0" borderId="75" xfId="0" applyFont="1" applyBorder="1" applyAlignment="1">
      <alignment horizontal="center"/>
    </xf>
    <xf numFmtId="0" fontId="4" fillId="0" borderId="74" xfId="0" applyFont="1" applyBorder="1"/>
    <xf numFmtId="1" fontId="4" fillId="0" borderId="2" xfId="0" applyNumberFormat="1" applyFont="1" applyBorder="1"/>
    <xf numFmtId="168" fontId="4" fillId="0" borderId="101" xfId="0" applyNumberFormat="1" applyFont="1" applyBorder="1"/>
    <xf numFmtId="164" fontId="4" fillId="0" borderId="101" xfId="0" applyNumberFormat="1" applyFont="1" applyBorder="1"/>
    <xf numFmtId="0" fontId="4" fillId="0" borderId="44" xfId="0" applyFont="1" applyBorder="1" applyAlignment="1">
      <alignment horizontal="center"/>
    </xf>
    <xf numFmtId="173" fontId="4" fillId="0" borderId="101" xfId="0" applyNumberFormat="1" applyFont="1" applyBorder="1"/>
    <xf numFmtId="169" fontId="4" fillId="0" borderId="107" xfId="0" applyNumberFormat="1" applyFont="1" applyBorder="1"/>
    <xf numFmtId="166" fontId="4" fillId="0" borderId="107" xfId="0" applyNumberFormat="1" applyFont="1" applyBorder="1"/>
    <xf numFmtId="170" fontId="4" fillId="0" borderId="101" xfId="0" applyNumberFormat="1" applyFont="1" applyBorder="1"/>
    <xf numFmtId="3" fontId="4" fillId="0" borderId="44" xfId="1" applyNumberFormat="1" applyFont="1" applyBorder="1" applyAlignment="1">
      <alignment horizontal="center"/>
    </xf>
    <xf numFmtId="166" fontId="4" fillId="0" borderId="93" xfId="12" applyNumberFormat="1" applyFont="1" applyFill="1" applyBorder="1" applyAlignment="1">
      <alignment horizontal="center"/>
    </xf>
    <xf numFmtId="0" fontId="3" fillId="0" borderId="102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01" xfId="0" applyFont="1" applyBorder="1" applyAlignment="1">
      <alignment horizontal="center"/>
    </xf>
    <xf numFmtId="170" fontId="4" fillId="0" borderId="93" xfId="0" applyNumberFormat="1" applyFont="1" applyBorder="1"/>
    <xf numFmtId="0" fontId="7" fillId="0" borderId="45" xfId="0" applyFont="1" applyBorder="1" applyAlignment="1">
      <alignment horizontal="center"/>
    </xf>
    <xf numFmtId="0" fontId="7" fillId="0" borderId="101" xfId="0" applyFont="1" applyBorder="1" applyAlignment="1">
      <alignment horizontal="center"/>
    </xf>
    <xf numFmtId="0" fontId="7" fillId="0" borderId="102" xfId="0" applyFont="1" applyBorder="1" applyAlignment="1">
      <alignment horizontal="center"/>
    </xf>
    <xf numFmtId="0" fontId="7" fillId="0" borderId="103" xfId="0" applyFont="1" applyBorder="1" applyAlignment="1">
      <alignment horizontal="center"/>
    </xf>
    <xf numFmtId="0" fontId="3" fillId="0" borderId="27" xfId="11" applyFont="1" applyBorder="1"/>
    <xf numFmtId="0" fontId="4" fillId="0" borderId="46" xfId="0" applyNumberFormat="1" applyFont="1" applyBorder="1" applyAlignment="1">
      <alignment horizontal="center"/>
    </xf>
    <xf numFmtId="0" fontId="3" fillId="0" borderId="38" xfId="0" applyFont="1" applyBorder="1"/>
    <xf numFmtId="3" fontId="4" fillId="0" borderId="106" xfId="0" applyNumberFormat="1" applyFont="1" applyBorder="1" applyAlignment="1">
      <alignment horizontal="center"/>
    </xf>
    <xf numFmtId="3" fontId="4" fillId="0" borderId="93" xfId="0" applyNumberFormat="1" applyFont="1" applyBorder="1"/>
    <xf numFmtId="3" fontId="3" fillId="0" borderId="101" xfId="0" applyNumberFormat="1" applyFont="1" applyBorder="1"/>
    <xf numFmtId="3" fontId="3" fillId="0" borderId="103" xfId="0" applyNumberFormat="1" applyFont="1" applyBorder="1"/>
    <xf numFmtId="4" fontId="4" fillId="0" borderId="50" xfId="0" applyNumberFormat="1" applyFont="1" applyBorder="1" applyAlignment="1">
      <alignment horizontal="center"/>
    </xf>
    <xf numFmtId="4" fontId="4" fillId="0" borderId="99" xfId="0" applyNumberFormat="1" applyFont="1" applyBorder="1" applyAlignment="1">
      <alignment horizontal="center"/>
    </xf>
    <xf numFmtId="1" fontId="11" fillId="0" borderId="45" xfId="0" applyNumberFormat="1" applyFont="1" applyBorder="1"/>
    <xf numFmtId="1" fontId="11" fillId="0" borderId="101" xfId="0" applyNumberFormat="1" applyFont="1" applyBorder="1"/>
    <xf numFmtId="0" fontId="11" fillId="0" borderId="101" xfId="0" applyFont="1" applyBorder="1"/>
    <xf numFmtId="3" fontId="11" fillId="0" borderId="101" xfId="0" applyNumberFormat="1" applyFont="1" applyBorder="1"/>
    <xf numFmtId="169" fontId="11" fillId="0" borderId="101" xfId="0" applyNumberFormat="1" applyFont="1" applyBorder="1"/>
    <xf numFmtId="169" fontId="11" fillId="0" borderId="103" xfId="0" applyNumberFormat="1" applyFont="1" applyBorder="1"/>
    <xf numFmtId="169" fontId="11" fillId="0" borderId="107" xfId="0" applyNumberFormat="1" applyFont="1" applyBorder="1"/>
    <xf numFmtId="3" fontId="11" fillId="0" borderId="45" xfId="0" applyNumberFormat="1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/>
    <xf numFmtId="0" fontId="11" fillId="0" borderId="95" xfId="0" applyFont="1" applyBorder="1"/>
    <xf numFmtId="0" fontId="11" fillId="0" borderId="44" xfId="0" applyFont="1" applyBorder="1"/>
    <xf numFmtId="0" fontId="11" fillId="0" borderId="93" xfId="0" applyFont="1" applyBorder="1"/>
    <xf numFmtId="3" fontId="11" fillId="0" borderId="45" xfId="0" applyNumberFormat="1" applyFont="1" applyBorder="1"/>
    <xf numFmtId="166" fontId="11" fillId="0" borderId="101" xfId="0" applyNumberFormat="1" applyFont="1" applyBorder="1"/>
    <xf numFmtId="3" fontId="4" fillId="0" borderId="107" xfId="0" applyNumberFormat="1" applyFont="1" applyBorder="1"/>
    <xf numFmtId="169" fontId="4" fillId="0" borderId="108" xfId="0" applyNumberFormat="1" applyFont="1" applyBorder="1"/>
    <xf numFmtId="3" fontId="4" fillId="0" borderId="15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0" fontId="3" fillId="0" borderId="100" xfId="0" applyFont="1" applyBorder="1" applyAlignment="1">
      <alignment horizontal="center"/>
    </xf>
    <xf numFmtId="3" fontId="3" fillId="0" borderId="65" xfId="0" applyNumberFormat="1" applyFont="1" applyBorder="1" applyAlignment="1">
      <alignment horizontal="center"/>
    </xf>
    <xf numFmtId="0" fontId="11" fillId="0" borderId="0" xfId="0" applyFont="1"/>
    <xf numFmtId="0" fontId="11" fillId="0" borderId="106" xfId="0" applyFont="1" applyBorder="1"/>
    <xf numFmtId="0" fontId="11" fillId="0" borderId="102" xfId="0" applyFont="1" applyBorder="1"/>
    <xf numFmtId="3" fontId="11" fillId="0" borderId="0" xfId="1" applyNumberFormat="1" applyFont="1" applyBorder="1" applyAlignment="1">
      <alignment horizontal="center"/>
    </xf>
    <xf numFmtId="166" fontId="11" fillId="0" borderId="50" xfId="12" applyNumberFormat="1" applyFont="1" applyFill="1" applyBorder="1" applyAlignment="1">
      <alignment horizontal="center"/>
    </xf>
    <xf numFmtId="4" fontId="11" fillId="0" borderId="50" xfId="0" applyNumberFormat="1" applyFont="1" applyBorder="1" applyAlignment="1">
      <alignment horizontal="center"/>
    </xf>
    <xf numFmtId="164" fontId="4" fillId="0" borderId="15" xfId="0" applyNumberFormat="1" applyFont="1" applyFill="1" applyBorder="1" applyAlignment="1"/>
    <xf numFmtId="164" fontId="4" fillId="0" borderId="32" xfId="0" applyNumberFormat="1" applyFont="1" applyFill="1" applyBorder="1" applyAlignment="1"/>
    <xf numFmtId="164" fontId="4" fillId="0" borderId="22" xfId="0" applyNumberFormat="1" applyFont="1" applyFill="1" applyBorder="1" applyAlignment="1"/>
    <xf numFmtId="164" fontId="4" fillId="0" borderId="59" xfId="0" applyNumberFormat="1" applyFont="1" applyFill="1" applyBorder="1" applyAlignment="1"/>
    <xf numFmtId="3" fontId="3" fillId="0" borderId="107" xfId="0" applyNumberFormat="1" applyFont="1" applyBorder="1"/>
    <xf numFmtId="1" fontId="4" fillId="0" borderId="44" xfId="0" applyNumberFormat="1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54" xfId="0" applyFont="1" applyBorder="1"/>
    <xf numFmtId="0" fontId="6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75" xfId="0" applyFont="1" applyBorder="1" applyAlignment="1">
      <alignment horizontal="center"/>
    </xf>
    <xf numFmtId="0" fontId="7" fillId="0" borderId="109" xfId="0" applyFont="1" applyBorder="1" applyAlignment="1">
      <alignment horizontal="center"/>
    </xf>
    <xf numFmtId="0" fontId="0" fillId="0" borderId="11" xfId="0" applyBorder="1"/>
    <xf numFmtId="0" fontId="0" fillId="0" borderId="2" xfId="0" applyBorder="1"/>
    <xf numFmtId="1" fontId="11" fillId="0" borderId="45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1" fontId="4" fillId="0" borderId="45" xfId="0" applyNumberFormat="1" applyFont="1" applyBorder="1" applyAlignment="1">
      <alignment horizontal="center"/>
    </xf>
    <xf numFmtId="167" fontId="4" fillId="0" borderId="50" xfId="0" applyNumberFormat="1" applyFont="1" applyBorder="1" applyAlignment="1">
      <alignment horizontal="center"/>
    </xf>
    <xf numFmtId="1" fontId="4" fillId="0" borderId="102" xfId="0" applyNumberFormat="1" applyFont="1" applyBorder="1" applyAlignment="1">
      <alignment horizontal="center"/>
    </xf>
    <xf numFmtId="169" fontId="4" fillId="0" borderId="22" xfId="0" applyNumberFormat="1" applyFont="1" applyBorder="1" applyAlignment="1">
      <alignment horizontal="right"/>
    </xf>
    <xf numFmtId="3" fontId="4" fillId="0" borderId="110" xfId="1" applyNumberFormat="1" applyFont="1" applyBorder="1" applyAlignment="1">
      <alignment horizontal="center"/>
    </xf>
    <xf numFmtId="166" fontId="4" fillId="0" borderId="87" xfId="12" applyNumberFormat="1" applyFont="1" applyFill="1" applyBorder="1" applyAlignment="1">
      <alignment horizontal="center"/>
    </xf>
    <xf numFmtId="0" fontId="4" fillId="2" borderId="49" xfId="0" applyFont="1" applyFill="1" applyBorder="1"/>
    <xf numFmtId="0" fontId="4" fillId="2" borderId="46" xfId="0" applyFont="1" applyFill="1" applyBorder="1"/>
    <xf numFmtId="0" fontId="4" fillId="2" borderId="61" xfId="0" applyFont="1" applyFill="1" applyBorder="1"/>
    <xf numFmtId="0" fontId="4" fillId="2" borderId="39" xfId="0" applyFont="1" applyFill="1" applyBorder="1"/>
    <xf numFmtId="0" fontId="4" fillId="2" borderId="33" xfId="0" applyFont="1" applyFill="1" applyBorder="1"/>
    <xf numFmtId="0" fontId="4" fillId="2" borderId="21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168" fontId="3" fillId="0" borderId="101" xfId="0" applyNumberFormat="1" applyFont="1" applyBorder="1"/>
    <xf numFmtId="168" fontId="3" fillId="0" borderId="103" xfId="0" applyNumberFormat="1" applyFont="1" applyBorder="1"/>
    <xf numFmtId="1" fontId="4" fillId="0" borderId="0" xfId="14" applyNumberFormat="1" applyFont="1" applyFill="1" applyBorder="1" applyAlignment="1">
      <alignment horizontal="center"/>
    </xf>
    <xf numFmtId="3" fontId="11" fillId="0" borderId="110" xfId="1" applyNumberFormat="1" applyFont="1" applyBorder="1" applyAlignment="1">
      <alignment horizontal="center"/>
    </xf>
    <xf numFmtId="166" fontId="11" fillId="0" borderId="87" xfId="12" applyNumberFormat="1" applyFont="1" applyFill="1" applyBorder="1" applyAlignment="1">
      <alignment horizontal="center"/>
    </xf>
    <xf numFmtId="0" fontId="0" fillId="0" borderId="1" xfId="0" applyBorder="1"/>
    <xf numFmtId="0" fontId="4" fillId="0" borderId="18" xfId="0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right"/>
    </xf>
    <xf numFmtId="0" fontId="4" fillId="0" borderId="4" xfId="0" applyNumberFormat="1" applyFont="1" applyFill="1" applyBorder="1" applyAlignment="1">
      <alignment horizontal="right"/>
    </xf>
    <xf numFmtId="3" fontId="4" fillId="0" borderId="22" xfId="1" applyNumberFormat="1" applyFont="1" applyFill="1" applyBorder="1" applyAlignment="1">
      <alignment horizontal="right"/>
    </xf>
    <xf numFmtId="3" fontId="4" fillId="0" borderId="37" xfId="1" applyNumberFormat="1" applyFont="1" applyFill="1" applyBorder="1" applyAlignment="1">
      <alignment horizontal="right"/>
    </xf>
    <xf numFmtId="3" fontId="4" fillId="0" borderId="59" xfId="1" applyNumberFormat="1" applyFont="1" applyFill="1" applyBorder="1" applyAlignment="1">
      <alignment horizontal="right"/>
    </xf>
    <xf numFmtId="3" fontId="4" fillId="0" borderId="16" xfId="1" applyNumberFormat="1" applyFont="1" applyFill="1" applyBorder="1" applyAlignment="1">
      <alignment horizontal="right"/>
    </xf>
    <xf numFmtId="3" fontId="4" fillId="0" borderId="31" xfId="1" applyNumberFormat="1" applyFont="1" applyFill="1" applyBorder="1" applyAlignment="1">
      <alignment horizontal="right"/>
    </xf>
    <xf numFmtId="3" fontId="4" fillId="0" borderId="15" xfId="1" applyNumberFormat="1" applyFont="1" applyFill="1" applyBorder="1" applyAlignment="1">
      <alignment horizontal="center"/>
    </xf>
    <xf numFmtId="3" fontId="4" fillId="0" borderId="32" xfId="1" applyNumberFormat="1" applyFont="1" applyFill="1" applyBorder="1" applyAlignment="1">
      <alignment horizontal="center"/>
    </xf>
    <xf numFmtId="3" fontId="4" fillId="0" borderId="22" xfId="1" applyNumberFormat="1" applyFont="1" applyFill="1" applyBorder="1" applyAlignment="1">
      <alignment horizontal="center"/>
    </xf>
    <xf numFmtId="3" fontId="4" fillId="0" borderId="59" xfId="1" applyNumberFormat="1" applyFont="1" applyFill="1" applyBorder="1" applyAlignment="1">
      <alignment horizontal="center"/>
    </xf>
    <xf numFmtId="3" fontId="4" fillId="0" borderId="16" xfId="1" applyNumberFormat="1" applyFont="1" applyFill="1" applyBorder="1" applyAlignment="1">
      <alignment horizontal="center"/>
    </xf>
    <xf numFmtId="3" fontId="4" fillId="0" borderId="31" xfId="1" applyNumberFormat="1" applyFont="1" applyFill="1" applyBorder="1" applyAlignment="1">
      <alignment horizontal="center"/>
    </xf>
    <xf numFmtId="3" fontId="4" fillId="0" borderId="46" xfId="1" applyNumberFormat="1" applyFont="1" applyFill="1" applyBorder="1" applyAlignment="1">
      <alignment horizontal="center"/>
    </xf>
    <xf numFmtId="3" fontId="4" fillId="0" borderId="61" xfId="1" applyNumberFormat="1" applyFont="1" applyFill="1" applyBorder="1" applyAlignment="1">
      <alignment horizontal="right"/>
    </xf>
    <xf numFmtId="3" fontId="4" fillId="0" borderId="63" xfId="1" applyNumberFormat="1" applyFont="1" applyFill="1" applyBorder="1" applyAlignment="1">
      <alignment horizontal="center"/>
    </xf>
    <xf numFmtId="169" fontId="4" fillId="0" borderId="35" xfId="1" applyNumberFormat="1" applyFont="1" applyFill="1" applyBorder="1" applyAlignment="1">
      <alignment horizontal="right"/>
    </xf>
    <xf numFmtId="169" fontId="4" fillId="0" borderId="31" xfId="1" applyNumberFormat="1" applyFont="1" applyFill="1" applyBorder="1" applyAlignment="1">
      <alignment horizontal="center"/>
    </xf>
    <xf numFmtId="3" fontId="4" fillId="0" borderId="23" xfId="1" applyNumberFormat="1" applyFont="1" applyFill="1" applyBorder="1" applyAlignment="1">
      <alignment horizontal="center"/>
    </xf>
    <xf numFmtId="169" fontId="4" fillId="0" borderId="56" xfId="1" applyNumberFormat="1" applyFont="1" applyFill="1" applyBorder="1" applyAlignment="1">
      <alignment horizontal="right"/>
    </xf>
    <xf numFmtId="169" fontId="4" fillId="0" borderId="55" xfId="1" applyNumberFormat="1" applyFont="1" applyFill="1" applyBorder="1" applyAlignment="1">
      <alignment horizontal="center"/>
    </xf>
    <xf numFmtId="3" fontId="3" fillId="0" borderId="56" xfId="1" applyNumberFormat="1" applyFont="1" applyFill="1" applyBorder="1" applyAlignment="1">
      <alignment horizontal="right"/>
    </xf>
    <xf numFmtId="166" fontId="4" fillId="0" borderId="24" xfId="1" applyNumberFormat="1" applyFont="1" applyFill="1" applyBorder="1" applyAlignment="1">
      <alignment horizontal="right"/>
    </xf>
    <xf numFmtId="3" fontId="4" fillId="0" borderId="56" xfId="1" applyNumberFormat="1" applyFont="1" applyFill="1" applyBorder="1" applyAlignment="1">
      <alignment horizontal="right"/>
    </xf>
    <xf numFmtId="166" fontId="4" fillId="0" borderId="111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center"/>
    </xf>
    <xf numFmtId="0" fontId="0" fillId="0" borderId="62" xfId="0" applyFill="1" applyBorder="1" applyAlignment="1"/>
    <xf numFmtId="3" fontId="3" fillId="0" borderId="93" xfId="0" applyNumberFormat="1" applyFont="1" applyBorder="1"/>
    <xf numFmtId="0" fontId="4" fillId="2" borderId="34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right"/>
    </xf>
    <xf numFmtId="166" fontId="4" fillId="0" borderId="35" xfId="13" applyNumberFormat="1" applyFont="1" applyFill="1" applyBorder="1"/>
    <xf numFmtId="166" fontId="4" fillId="0" borderId="36" xfId="13" applyNumberFormat="1" applyFont="1" applyFill="1" applyBorder="1"/>
    <xf numFmtId="164" fontId="4" fillId="2" borderId="22" xfId="0" applyNumberFormat="1" applyFont="1" applyFill="1" applyBorder="1"/>
    <xf numFmtId="0" fontId="4" fillId="2" borderId="15" xfId="0" applyNumberFormat="1" applyFont="1" applyFill="1" applyBorder="1"/>
    <xf numFmtId="164" fontId="4" fillId="2" borderId="46" xfId="0" applyNumberFormat="1" applyFont="1" applyFill="1" applyBorder="1"/>
    <xf numFmtId="166" fontId="4" fillId="0" borderId="24" xfId="12" applyNumberFormat="1" applyFont="1" applyFill="1" applyBorder="1" applyAlignment="1">
      <alignment horizontal="right"/>
    </xf>
    <xf numFmtId="0" fontId="3" fillId="0" borderId="23" xfId="0" applyFont="1" applyBorder="1"/>
    <xf numFmtId="0" fontId="3" fillId="0" borderId="109" xfId="11" applyFont="1" applyBorder="1"/>
    <xf numFmtId="0" fontId="4" fillId="0" borderId="11" xfId="11" applyFont="1" applyBorder="1"/>
    <xf numFmtId="0" fontId="4" fillId="0" borderId="2" xfId="11" applyFont="1" applyBorder="1"/>
    <xf numFmtId="0" fontId="4" fillId="0" borderId="53" xfId="11" applyFont="1" applyBorder="1"/>
    <xf numFmtId="166" fontId="4" fillId="0" borderId="16" xfId="13" applyNumberFormat="1" applyFont="1" applyFill="1" applyBorder="1"/>
    <xf numFmtId="166" fontId="4" fillId="0" borderId="15" xfId="13" applyNumberFormat="1" applyFont="1" applyFill="1" applyBorder="1"/>
    <xf numFmtId="166" fontId="4" fillId="0" borderId="0" xfId="11" applyNumberFormat="1" applyFont="1" applyBorder="1"/>
    <xf numFmtId="3" fontId="4" fillId="0" borderId="18" xfId="1" applyNumberFormat="1" applyFont="1" applyFill="1" applyBorder="1" applyAlignment="1">
      <alignment horizontal="right"/>
    </xf>
    <xf numFmtId="0" fontId="11" fillId="0" borderId="1" xfId="0" applyFont="1" applyBorder="1"/>
    <xf numFmtId="0" fontId="11" fillId="0" borderId="82" xfId="0" applyFont="1" applyBorder="1"/>
    <xf numFmtId="167" fontId="11" fillId="0" borderId="0" xfId="0" applyNumberFormat="1" applyFont="1" applyAlignment="1">
      <alignment horizontal="center"/>
    </xf>
    <xf numFmtId="1" fontId="4" fillId="0" borderId="0" xfId="0" applyNumberFormat="1" applyFont="1" applyFill="1" applyBorder="1"/>
    <xf numFmtId="167" fontId="4" fillId="0" borderId="89" xfId="0" applyNumberFormat="1" applyFont="1" applyBorder="1" applyAlignment="1">
      <alignment horizontal="center"/>
    </xf>
    <xf numFmtId="170" fontId="4" fillId="0" borderId="99" xfId="0" applyNumberFormat="1" applyFont="1" applyBorder="1"/>
    <xf numFmtId="3" fontId="3" fillId="0" borderId="108" xfId="0" applyNumberFormat="1" applyFont="1" applyBorder="1"/>
    <xf numFmtId="0" fontId="4" fillId="0" borderId="105" xfId="0" applyFont="1" applyBorder="1"/>
    <xf numFmtId="9" fontId="4" fillId="0" borderId="107" xfId="0" applyNumberFormat="1" applyFont="1" applyBorder="1"/>
    <xf numFmtId="164" fontId="4" fillId="0" borderId="108" xfId="0" applyNumberFormat="1" applyFont="1" applyBorder="1"/>
    <xf numFmtId="0" fontId="4" fillId="0" borderId="65" xfId="0" applyFont="1" applyBorder="1" applyAlignment="1">
      <alignment horizontal="center"/>
    </xf>
    <xf numFmtId="1" fontId="4" fillId="0" borderId="106" xfId="0" applyNumberFormat="1" applyFont="1" applyBorder="1"/>
    <xf numFmtId="3" fontId="4" fillId="2" borderId="18" xfId="0" applyNumberFormat="1" applyFont="1" applyFill="1" applyBorder="1" applyAlignment="1">
      <alignment horizontal="right"/>
    </xf>
    <xf numFmtId="3" fontId="4" fillId="2" borderId="36" xfId="1" applyNumberFormat="1" applyFont="1" applyFill="1" applyBorder="1" applyAlignment="1">
      <alignment horizontal="right"/>
    </xf>
    <xf numFmtId="3" fontId="4" fillId="0" borderId="112" xfId="1" applyNumberFormat="1" applyFont="1" applyBorder="1" applyAlignment="1">
      <alignment horizontal="center"/>
    </xf>
    <xf numFmtId="3" fontId="11" fillId="0" borderId="102" xfId="0" applyNumberFormat="1" applyFont="1" applyBorder="1" applyAlignment="1">
      <alignment horizontal="center"/>
    </xf>
    <xf numFmtId="169" fontId="11" fillId="0" borderId="93" xfId="0" applyNumberFormat="1" applyFont="1" applyBorder="1"/>
    <xf numFmtId="167" fontId="11" fillId="0" borderId="89" xfId="0" applyNumberFormat="1" applyFont="1" applyBorder="1" applyAlignment="1">
      <alignment horizontal="center"/>
    </xf>
    <xf numFmtId="168" fontId="3" fillId="0" borderId="37" xfId="1" applyNumberFormat="1" applyFont="1" applyFill="1" applyBorder="1"/>
    <xf numFmtId="0" fontId="4" fillId="0" borderId="35" xfId="0" applyFont="1" applyFill="1" applyBorder="1" applyAlignment="1">
      <alignment horizontal="center"/>
    </xf>
    <xf numFmtId="166" fontId="4" fillId="0" borderId="18" xfId="1" applyNumberFormat="1" applyFont="1" applyFill="1" applyBorder="1" applyAlignment="1">
      <alignment horizontal="right"/>
    </xf>
    <xf numFmtId="2" fontId="4" fillId="0" borderId="62" xfId="14" applyNumberFormat="1" applyFont="1" applyFill="1" applyBorder="1" applyAlignment="1">
      <alignment horizontal="center"/>
    </xf>
    <xf numFmtId="2" fontId="4" fillId="0" borderId="85" xfId="14" applyNumberFormat="1" applyFont="1" applyFill="1" applyBorder="1" applyAlignment="1">
      <alignment horizontal="center"/>
    </xf>
    <xf numFmtId="169" fontId="4" fillId="0" borderId="16" xfId="1" applyNumberFormat="1" applyFont="1" applyFill="1" applyBorder="1"/>
    <xf numFmtId="169" fontId="4" fillId="0" borderId="88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center"/>
    </xf>
    <xf numFmtId="3" fontId="4" fillId="0" borderId="59" xfId="0" applyNumberFormat="1" applyFont="1" applyFill="1" applyBorder="1" applyAlignment="1">
      <alignment horizontal="center"/>
    </xf>
    <xf numFmtId="169" fontId="4" fillId="0" borderId="32" xfId="0" applyNumberFormat="1" applyFont="1" applyFill="1" applyBorder="1"/>
    <xf numFmtId="169" fontId="4" fillId="0" borderId="59" xfId="0" applyNumberFormat="1" applyFont="1" applyFill="1" applyBorder="1"/>
    <xf numFmtId="169" fontId="4" fillId="0" borderId="22" xfId="0" applyNumberFormat="1" applyFont="1" applyFill="1" applyBorder="1"/>
    <xf numFmtId="169" fontId="4" fillId="0" borderId="36" xfId="1" applyNumberFormat="1" applyFont="1" applyFill="1" applyBorder="1"/>
    <xf numFmtId="169" fontId="4" fillId="0" borderId="88" xfId="1" applyNumberFormat="1" applyFont="1" applyFill="1" applyBorder="1"/>
    <xf numFmtId="168" fontId="3" fillId="0" borderId="35" xfId="1" applyNumberFormat="1" applyFont="1" applyFill="1" applyBorder="1"/>
    <xf numFmtId="3" fontId="4" fillId="0" borderId="61" xfId="1" applyNumberFormat="1" applyFont="1" applyFill="1" applyBorder="1"/>
    <xf numFmtId="164" fontId="4" fillId="2" borderId="35" xfId="3" applyNumberFormat="1" applyFont="1" applyFill="1" applyBorder="1" applyAlignment="1">
      <alignment horizontal="right"/>
    </xf>
    <xf numFmtId="3" fontId="3" fillId="0" borderId="15" xfId="1" applyNumberFormat="1" applyFont="1" applyBorder="1" applyAlignment="1">
      <alignment horizontal="right"/>
    </xf>
    <xf numFmtId="0" fontId="3" fillId="0" borderId="59" xfId="0" applyFont="1" applyFill="1" applyBorder="1" applyAlignment="1">
      <alignment horizontal="right"/>
    </xf>
    <xf numFmtId="166" fontId="4" fillId="0" borderId="18" xfId="12" applyNumberFormat="1" applyFont="1" applyFill="1" applyBorder="1"/>
    <xf numFmtId="3" fontId="4" fillId="0" borderId="7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4" fillId="0" borderId="18" xfId="1" applyNumberFormat="1" applyFont="1" applyFill="1" applyBorder="1"/>
    <xf numFmtId="3" fontId="4" fillId="0" borderId="43" xfId="1" applyNumberFormat="1" applyFont="1" applyFill="1" applyBorder="1"/>
    <xf numFmtId="3" fontId="3" fillId="0" borderId="15" xfId="1" applyNumberFormat="1" applyFont="1" applyFill="1" applyBorder="1" applyAlignment="1">
      <alignment horizontal="right"/>
    </xf>
    <xf numFmtId="3" fontId="3" fillId="0" borderId="37" xfId="1" applyNumberFormat="1" applyFont="1" applyFill="1" applyBorder="1" applyAlignment="1">
      <alignment horizontal="right"/>
    </xf>
    <xf numFmtId="1" fontId="4" fillId="0" borderId="32" xfId="0" applyNumberFormat="1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/>
    </xf>
    <xf numFmtId="164" fontId="4" fillId="0" borderId="35" xfId="3" applyNumberFormat="1" applyFont="1" applyFill="1" applyBorder="1" applyAlignment="1">
      <alignment horizontal="right"/>
    </xf>
    <xf numFmtId="169" fontId="4" fillId="0" borderId="35" xfId="1" applyNumberFormat="1" applyFont="1" applyFill="1" applyBorder="1"/>
    <xf numFmtId="1" fontId="4" fillId="0" borderId="31" xfId="0" applyNumberFormat="1" applyFont="1" applyFill="1" applyBorder="1" applyAlignment="1">
      <alignment horizontal="center"/>
    </xf>
    <xf numFmtId="169" fontId="4" fillId="0" borderId="35" xfId="0" applyNumberFormat="1" applyFont="1" applyFill="1" applyBorder="1" applyAlignment="1">
      <alignment horizontal="center"/>
    </xf>
    <xf numFmtId="169" fontId="4" fillId="0" borderId="88" xfId="0" applyNumberFormat="1" applyFont="1" applyFill="1" applyBorder="1" applyAlignment="1">
      <alignment horizontal="right"/>
    </xf>
    <xf numFmtId="166" fontId="4" fillId="0" borderId="58" xfId="13" applyNumberFormat="1" applyFont="1" applyFill="1" applyBorder="1"/>
    <xf numFmtId="169" fontId="4" fillId="0" borderId="61" xfId="0" applyNumberFormat="1" applyFont="1" applyFill="1" applyBorder="1"/>
    <xf numFmtId="169" fontId="4" fillId="0" borderId="37" xfId="0" applyNumberFormat="1" applyFont="1" applyFill="1" applyBorder="1" applyAlignment="1">
      <alignment horizontal="center"/>
    </xf>
    <xf numFmtId="173" fontId="11" fillId="0" borderId="62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164" fontId="4" fillId="0" borderId="56" xfId="0" applyNumberFormat="1" applyFont="1" applyFill="1" applyBorder="1" applyAlignment="1">
      <alignment horizontal="right"/>
    </xf>
    <xf numFmtId="169" fontId="11" fillId="0" borderId="62" xfId="0" applyNumberFormat="1" applyFont="1" applyFill="1" applyBorder="1"/>
    <xf numFmtId="169" fontId="11" fillId="0" borderId="0" xfId="0" applyNumberFormat="1" applyFont="1" applyFill="1" applyBorder="1"/>
    <xf numFmtId="3" fontId="4" fillId="0" borderId="7" xfId="0" applyNumberFormat="1" applyFont="1" applyFill="1" applyBorder="1" applyAlignment="1">
      <alignment horizontal="right"/>
    </xf>
    <xf numFmtId="169" fontId="4" fillId="0" borderId="101" xfId="1" applyNumberFormat="1" applyFont="1" applyFill="1" applyBorder="1"/>
    <xf numFmtId="169" fontId="4" fillId="0" borderId="98" xfId="1" applyNumberFormat="1" applyFont="1" applyFill="1" applyBorder="1"/>
    <xf numFmtId="0" fontId="4" fillId="0" borderId="82" xfId="0" applyFont="1" applyFill="1" applyBorder="1" applyAlignment="1">
      <alignment horizontal="right"/>
    </xf>
    <xf numFmtId="0" fontId="4" fillId="0" borderId="82" xfId="0" applyFont="1" applyFill="1" applyBorder="1" applyAlignment="1">
      <alignment horizontal="center"/>
    </xf>
    <xf numFmtId="166" fontId="4" fillId="0" borderId="57" xfId="13" applyNumberFormat="1" applyFont="1" applyFill="1" applyBorder="1"/>
    <xf numFmtId="166" fontId="4" fillId="0" borderId="31" xfId="13" applyNumberFormat="1" applyFont="1" applyFill="1" applyBorder="1"/>
    <xf numFmtId="166" fontId="4" fillId="0" borderId="32" xfId="13" applyNumberFormat="1" applyFont="1" applyFill="1" applyBorder="1"/>
    <xf numFmtId="1" fontId="4" fillId="0" borderId="107" xfId="0" applyNumberFormat="1" applyFont="1" applyBorder="1"/>
    <xf numFmtId="1" fontId="4" fillId="0" borderId="53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5" xfId="0" applyNumberFormat="1" applyFont="1" applyFill="1" applyBorder="1"/>
    <xf numFmtId="0" fontId="4" fillId="0" borderId="28" xfId="11" applyFont="1" applyBorder="1"/>
    <xf numFmtId="0" fontId="4" fillId="0" borderId="26" xfId="11" applyFont="1" applyBorder="1"/>
    <xf numFmtId="0" fontId="4" fillId="0" borderId="29" xfId="11" applyFont="1" applyBorder="1"/>
    <xf numFmtId="0" fontId="3" fillId="0" borderId="72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11" fillId="0" borderId="0" xfId="0" applyFont="1" applyFill="1"/>
    <xf numFmtId="0" fontId="11" fillId="0" borderId="44" xfId="0" applyFont="1" applyFill="1" applyBorder="1"/>
    <xf numFmtId="0" fontId="11" fillId="0" borderId="45" xfId="0" applyFont="1" applyFill="1" applyBorder="1"/>
    <xf numFmtId="1" fontId="11" fillId="0" borderId="44" xfId="0" applyNumberFormat="1" applyFont="1" applyFill="1" applyBorder="1"/>
    <xf numFmtId="1" fontId="11" fillId="0" borderId="0" xfId="0" applyNumberFormat="1" applyFont="1" applyFill="1"/>
    <xf numFmtId="0" fontId="3" fillId="0" borderId="52" xfId="0" applyFont="1" applyFill="1" applyBorder="1" applyAlignment="1">
      <alignment horizontal="centerContinuous"/>
    </xf>
    <xf numFmtId="0" fontId="3" fillId="0" borderId="20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16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3" fontId="4" fillId="0" borderId="7" xfId="0" applyNumberFormat="1" applyFont="1" applyBorder="1"/>
    <xf numFmtId="1" fontId="11" fillId="0" borderId="2" xfId="0" applyNumberFormat="1" applyFont="1" applyBorder="1"/>
    <xf numFmtId="0" fontId="0" fillId="0" borderId="101" xfId="0" applyFill="1" applyBorder="1"/>
    <xf numFmtId="1" fontId="11" fillId="0" borderId="64" xfId="0" applyNumberFormat="1" applyFont="1" applyBorder="1"/>
    <xf numFmtId="166" fontId="11" fillId="0" borderId="93" xfId="0" applyNumberFormat="1" applyFont="1" applyBorder="1"/>
    <xf numFmtId="1" fontId="4" fillId="0" borderId="60" xfId="11" applyNumberFormat="1" applyFont="1" applyFill="1" applyBorder="1" applyAlignment="1">
      <alignment horizontal="right"/>
    </xf>
    <xf numFmtId="1" fontId="4" fillId="0" borderId="62" xfId="11" applyNumberFormat="1" applyFont="1" applyFill="1" applyBorder="1" applyAlignment="1">
      <alignment horizontal="right"/>
    </xf>
    <xf numFmtId="170" fontId="4" fillId="0" borderId="60" xfId="11" applyNumberFormat="1" applyFont="1" applyFill="1" applyBorder="1" applyAlignment="1">
      <alignment horizontal="right"/>
    </xf>
    <xf numFmtId="170" fontId="4" fillId="0" borderId="62" xfId="11" applyNumberFormat="1" applyFont="1" applyFill="1" applyBorder="1" applyAlignment="1">
      <alignment horizontal="right"/>
    </xf>
    <xf numFmtId="3" fontId="4" fillId="0" borderId="60" xfId="11" applyNumberFormat="1" applyFont="1" applyFill="1" applyBorder="1" applyAlignment="1">
      <alignment horizontal="right"/>
    </xf>
    <xf numFmtId="3" fontId="4" fillId="0" borderId="62" xfId="11" applyNumberFormat="1" applyFont="1" applyFill="1" applyBorder="1" applyAlignment="1">
      <alignment horizontal="right"/>
    </xf>
    <xf numFmtId="2" fontId="4" fillId="0" borderId="60" xfId="11" applyNumberFormat="1" applyFont="1" applyFill="1" applyBorder="1" applyAlignment="1">
      <alignment horizontal="right"/>
    </xf>
    <xf numFmtId="2" fontId="4" fillId="0" borderId="62" xfId="11" applyNumberFormat="1" applyFont="1" applyFill="1" applyBorder="1" applyAlignment="1">
      <alignment horizontal="right"/>
    </xf>
    <xf numFmtId="1" fontId="4" fillId="0" borderId="96" xfId="11" applyNumberFormat="1" applyFont="1" applyFill="1" applyBorder="1" applyAlignment="1">
      <alignment horizontal="right"/>
    </xf>
    <xf numFmtId="1" fontId="4" fillId="0" borderId="85" xfId="1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3" fontId="4" fillId="0" borderId="9" xfId="1" applyNumberFormat="1" applyFont="1" applyFill="1" applyBorder="1" applyAlignment="1">
      <alignment horizontal="right"/>
    </xf>
    <xf numFmtId="3" fontId="4" fillId="0" borderId="23" xfId="1" applyNumberFormat="1" applyFont="1" applyFill="1" applyBorder="1" applyAlignment="1">
      <alignment horizontal="right"/>
    </xf>
    <xf numFmtId="3" fontId="4" fillId="2" borderId="35" xfId="1" applyNumberFormat="1" applyFont="1" applyFill="1" applyBorder="1"/>
    <xf numFmtId="3" fontId="4" fillId="0" borderId="35" xfId="0" applyNumberFormat="1" applyFont="1" applyFill="1" applyBorder="1" applyAlignment="1">
      <alignment horizontal="center"/>
    </xf>
    <xf numFmtId="3" fontId="4" fillId="2" borderId="88" xfId="0" applyNumberFormat="1" applyFont="1" applyFill="1" applyBorder="1" applyAlignment="1">
      <alignment horizontal="right"/>
    </xf>
    <xf numFmtId="164" fontId="4" fillId="2" borderId="37" xfId="0" applyNumberFormat="1" applyFont="1" applyFill="1" applyBorder="1" applyAlignment="1">
      <alignment horizontal="right"/>
    </xf>
    <xf numFmtId="164" fontId="4" fillId="2" borderId="35" xfId="0" applyNumberFormat="1" applyFont="1" applyFill="1" applyBorder="1" applyAlignment="1">
      <alignment horizontal="right"/>
    </xf>
    <xf numFmtId="164" fontId="4" fillId="2" borderId="56" xfId="0" applyNumberFormat="1" applyFont="1" applyFill="1" applyBorder="1" applyAlignment="1">
      <alignment horizontal="right"/>
    </xf>
    <xf numFmtId="0" fontId="4" fillId="0" borderId="62" xfId="0" applyFont="1" applyFill="1" applyBorder="1"/>
    <xf numFmtId="3" fontId="4" fillId="0" borderId="50" xfId="0" applyNumberFormat="1" applyFont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0" fillId="0" borderId="50" xfId="0" applyBorder="1"/>
    <xf numFmtId="1" fontId="4" fillId="0" borderId="62" xfId="0" applyNumberFormat="1" applyFont="1" applyFill="1" applyBorder="1"/>
    <xf numFmtId="1" fontId="4" fillId="0" borderId="85" xfId="0" applyNumberFormat="1" applyFont="1" applyFill="1" applyBorder="1"/>
    <xf numFmtId="0" fontId="3" fillId="0" borderId="0" xfId="11" applyFont="1" applyFill="1" applyBorder="1" applyAlignment="1"/>
    <xf numFmtId="3" fontId="4" fillId="2" borderId="56" xfId="0" applyNumberFormat="1" applyFont="1" applyFill="1" applyBorder="1" applyAlignment="1">
      <alignment horizontal="right"/>
    </xf>
    <xf numFmtId="0" fontId="3" fillId="0" borderId="113" xfId="0" applyFont="1" applyBorder="1" applyAlignment="1">
      <alignment horizontal="center"/>
    </xf>
    <xf numFmtId="0" fontId="4" fillId="2" borderId="43" xfId="0" applyFont="1" applyFill="1" applyBorder="1"/>
    <xf numFmtId="0" fontId="4" fillId="2" borderId="24" xfId="0" applyFont="1" applyFill="1" applyBorder="1" applyAlignment="1">
      <alignment horizontal="right"/>
    </xf>
    <xf numFmtId="3" fontId="4" fillId="0" borderId="35" xfId="0" applyNumberFormat="1" applyFont="1" applyFill="1" applyBorder="1"/>
    <xf numFmtId="166" fontId="4" fillId="0" borderId="50" xfId="11" applyNumberFormat="1" applyFont="1" applyBorder="1"/>
    <xf numFmtId="0" fontId="4" fillId="2" borderId="36" xfId="0" applyNumberFormat="1" applyFont="1" applyFill="1" applyBorder="1"/>
    <xf numFmtId="0" fontId="4" fillId="2" borderId="61" xfId="0" applyNumberFormat="1" applyFont="1" applyFill="1" applyBorder="1"/>
    <xf numFmtId="171" fontId="4" fillId="2" borderId="37" xfId="0" applyNumberFormat="1" applyFont="1" applyFill="1" applyBorder="1" applyAlignment="1">
      <alignment horizontal="center"/>
    </xf>
    <xf numFmtId="3" fontId="3" fillId="2" borderId="56" xfId="0" applyNumberFormat="1" applyFont="1" applyFill="1" applyBorder="1"/>
    <xf numFmtId="166" fontId="4" fillId="2" borderId="16" xfId="13" applyNumberFormat="1" applyFont="1" applyFill="1" applyBorder="1"/>
    <xf numFmtId="166" fontId="4" fillId="2" borderId="35" xfId="13" applyNumberFormat="1" applyFont="1" applyFill="1" applyBorder="1"/>
    <xf numFmtId="166" fontId="4" fillId="2" borderId="15" xfId="13" applyNumberFormat="1" applyFont="1" applyFill="1" applyBorder="1"/>
    <xf numFmtId="166" fontId="4" fillId="2" borderId="36" xfId="13" applyNumberFormat="1" applyFont="1" applyFill="1" applyBorder="1"/>
    <xf numFmtId="3" fontId="4" fillId="2" borderId="36" xfId="0" applyNumberFormat="1" applyFont="1" applyFill="1" applyBorder="1"/>
    <xf numFmtId="3" fontId="3" fillId="2" borderId="56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horizontal="right"/>
    </xf>
    <xf numFmtId="166" fontId="4" fillId="2" borderId="18" xfId="12" applyNumberFormat="1" applyFont="1" applyFill="1" applyBorder="1" applyAlignment="1">
      <alignment horizontal="right"/>
    </xf>
    <xf numFmtId="0" fontId="4" fillId="2" borderId="4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166" fontId="3" fillId="2" borderId="18" xfId="12" applyNumberFormat="1" applyFont="1" applyFill="1" applyBorder="1" applyAlignment="1">
      <alignment horizontal="right"/>
    </xf>
    <xf numFmtId="3" fontId="4" fillId="2" borderId="7" xfId="1" applyNumberFormat="1" applyFont="1" applyFill="1" applyBorder="1" applyAlignment="1">
      <alignment horizontal="right"/>
    </xf>
    <xf numFmtId="166" fontId="4" fillId="2" borderId="7" xfId="0" applyNumberFormat="1" applyFont="1" applyFill="1" applyBorder="1" applyAlignment="1">
      <alignment horizontal="right"/>
    </xf>
    <xf numFmtId="3" fontId="4" fillId="2" borderId="8" xfId="1" applyNumberFormat="1" applyFont="1" applyFill="1" applyBorder="1" applyAlignment="1">
      <alignment horizontal="right"/>
    </xf>
    <xf numFmtId="166" fontId="4" fillId="2" borderId="24" xfId="12" applyNumberFormat="1" applyFont="1" applyFill="1" applyBorder="1" applyAlignment="1">
      <alignment horizontal="right"/>
    </xf>
    <xf numFmtId="1" fontId="4" fillId="2" borderId="0" xfId="12" applyNumberFormat="1" applyFont="1" applyFill="1" applyBorder="1" applyAlignment="1">
      <alignment horizontal="center"/>
    </xf>
    <xf numFmtId="2" fontId="4" fillId="2" borderId="62" xfId="12" applyNumberFormat="1" applyFont="1" applyFill="1" applyBorder="1" applyAlignment="1">
      <alignment horizontal="center"/>
    </xf>
    <xf numFmtId="2" fontId="4" fillId="2" borderId="85" xfId="12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0" fontId="4" fillId="3" borderId="24" xfId="0" applyFont="1" applyFill="1" applyBorder="1" applyAlignment="1">
      <alignment horizontal="right"/>
    </xf>
    <xf numFmtId="0" fontId="4" fillId="2" borderId="54" xfId="0" applyFont="1" applyFill="1" applyBorder="1"/>
    <xf numFmtId="0" fontId="4" fillId="2" borderId="8" xfId="0" applyFont="1" applyFill="1" applyBorder="1"/>
    <xf numFmtId="0" fontId="3" fillId="0" borderId="77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114" xfId="0" applyFont="1" applyFill="1" applyBorder="1" applyAlignment="1">
      <alignment horizontal="center"/>
    </xf>
    <xf numFmtId="0" fontId="3" fillId="0" borderId="115" xfId="0" applyFont="1" applyFill="1" applyBorder="1" applyAlignment="1">
      <alignment horizontal="center"/>
    </xf>
    <xf numFmtId="0" fontId="3" fillId="0" borderId="116" xfId="0" applyFont="1" applyFill="1" applyBorder="1" applyAlignment="1">
      <alignment horizontal="center"/>
    </xf>
    <xf numFmtId="0" fontId="3" fillId="0" borderId="117" xfId="0" applyFont="1" applyFill="1" applyBorder="1" applyAlignment="1">
      <alignment horizontal="center"/>
    </xf>
    <xf numFmtId="0" fontId="4" fillId="2" borderId="16" xfId="0" applyFont="1" applyFill="1" applyBorder="1"/>
    <xf numFmtId="0" fontId="4" fillId="2" borderId="35" xfId="0" applyFont="1" applyFill="1" applyBorder="1"/>
    <xf numFmtId="0" fontId="4" fillId="2" borderId="36" xfId="0" applyFont="1" applyFill="1" applyBorder="1"/>
    <xf numFmtId="0" fontId="3" fillId="2" borderId="23" xfId="0" applyFont="1" applyFill="1" applyBorder="1"/>
    <xf numFmtId="3" fontId="4" fillId="2" borderId="35" xfId="0" applyNumberFormat="1" applyFont="1" applyFill="1" applyBorder="1"/>
    <xf numFmtId="168" fontId="4" fillId="2" borderId="35" xfId="1" applyNumberFormat="1" applyFont="1" applyFill="1" applyBorder="1"/>
    <xf numFmtId="168" fontId="4" fillId="2" borderId="36" xfId="1" applyNumberFormat="1" applyFont="1" applyFill="1" applyBorder="1"/>
    <xf numFmtId="0" fontId="3" fillId="2" borderId="15" xfId="0" applyFont="1" applyFill="1" applyBorder="1"/>
    <xf numFmtId="168" fontId="3" fillId="2" borderId="36" xfId="1" applyNumberFormat="1" applyFont="1" applyFill="1" applyBorder="1"/>
    <xf numFmtId="0" fontId="4" fillId="2" borderId="48" xfId="0" applyFont="1" applyFill="1" applyBorder="1"/>
    <xf numFmtId="0" fontId="4" fillId="2" borderId="58" xfId="0" applyFont="1" applyFill="1" applyBorder="1"/>
    <xf numFmtId="164" fontId="4" fillId="2" borderId="15" xfId="0" applyNumberFormat="1" applyFont="1" applyFill="1" applyBorder="1"/>
    <xf numFmtId="164" fontId="4" fillId="2" borderId="36" xfId="0" applyNumberFormat="1" applyFont="1" applyFill="1" applyBorder="1" applyAlignment="1">
      <alignment horizontal="center"/>
    </xf>
    <xf numFmtId="164" fontId="4" fillId="2" borderId="37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58" xfId="0" applyNumberFormat="1" applyFont="1" applyFill="1" applyBorder="1" applyAlignment="1">
      <alignment horizontal="center"/>
    </xf>
    <xf numFmtId="164" fontId="4" fillId="2" borderId="48" xfId="0" applyNumberFormat="1" applyFont="1" applyFill="1" applyBorder="1"/>
    <xf numFmtId="0" fontId="4" fillId="2" borderId="58" xfId="0" applyFont="1" applyFill="1" applyBorder="1" applyAlignment="1">
      <alignment horizontal="center"/>
    </xf>
    <xf numFmtId="164" fontId="4" fillId="2" borderId="0" xfId="0" applyNumberFormat="1" applyFont="1" applyFill="1" applyBorder="1"/>
    <xf numFmtId="0" fontId="4" fillId="2" borderId="62" xfId="0" applyFont="1" applyFill="1" applyBorder="1" applyAlignment="1">
      <alignment horizontal="center"/>
    </xf>
    <xf numFmtId="164" fontId="11" fillId="2" borderId="16" xfId="0" applyNumberFormat="1" applyFont="1" applyFill="1" applyBorder="1"/>
    <xf numFmtId="173" fontId="11" fillId="2" borderId="62" xfId="0" applyNumberFormat="1" applyFont="1" applyFill="1" applyBorder="1"/>
    <xf numFmtId="164" fontId="11" fillId="2" borderId="23" xfId="0" applyNumberFormat="1" applyFont="1" applyFill="1" applyBorder="1"/>
    <xf numFmtId="164" fontId="11" fillId="2" borderId="56" xfId="3" applyNumberFormat="1" applyFont="1" applyFill="1" applyBorder="1" applyAlignment="1">
      <alignment horizontal="right"/>
    </xf>
    <xf numFmtId="0" fontId="3" fillId="2" borderId="23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3" fontId="4" fillId="2" borderId="112" xfId="1" applyNumberFormat="1" applyFont="1" applyFill="1" applyBorder="1" applyAlignment="1">
      <alignment horizontal="center"/>
    </xf>
    <xf numFmtId="166" fontId="4" fillId="2" borderId="62" xfId="12" applyNumberFormat="1" applyFont="1" applyFill="1" applyBorder="1" applyAlignment="1">
      <alignment horizontal="center"/>
    </xf>
    <xf numFmtId="0" fontId="4" fillId="2" borderId="42" xfId="0" applyFont="1" applyFill="1" applyBorder="1"/>
    <xf numFmtId="0" fontId="3" fillId="0" borderId="70" xfId="11" applyFont="1" applyBorder="1"/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4" fillId="2" borderId="2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1" fontId="11" fillId="0" borderId="106" xfId="0" applyNumberFormat="1" applyFont="1" applyFill="1" applyBorder="1" applyAlignment="1">
      <alignment horizontal="right"/>
    </xf>
    <xf numFmtId="1" fontId="11" fillId="0" borderId="108" xfId="0" applyNumberFormat="1" applyFont="1" applyFill="1" applyBorder="1" applyAlignment="1">
      <alignment horizontal="right"/>
    </xf>
    <xf numFmtId="3" fontId="4" fillId="0" borderId="56" xfId="0" applyNumberFormat="1" applyFont="1" applyFill="1" applyBorder="1" applyAlignment="1">
      <alignment horizontal="right"/>
    </xf>
    <xf numFmtId="0" fontId="4" fillId="2" borderId="31" xfId="0" applyFont="1" applyFill="1" applyBorder="1"/>
    <xf numFmtId="0" fontId="3" fillId="2" borderId="32" xfId="0" applyFont="1" applyFill="1" applyBorder="1"/>
    <xf numFmtId="0" fontId="4" fillId="2" borderId="57" xfId="0" applyFont="1" applyFill="1" applyBorder="1"/>
    <xf numFmtId="164" fontId="4" fillId="2" borderId="32" xfId="0" applyNumberFormat="1" applyFont="1" applyFill="1" applyBorder="1"/>
    <xf numFmtId="164" fontId="4" fillId="2" borderId="15" xfId="0" applyNumberFormat="1" applyFont="1" applyFill="1" applyBorder="1" applyAlignment="1">
      <alignment horizontal="center"/>
    </xf>
    <xf numFmtId="164" fontId="4" fillId="2" borderId="59" xfId="0" applyNumberFormat="1" applyFont="1" applyFill="1" applyBorder="1"/>
    <xf numFmtId="164" fontId="4" fillId="2" borderId="22" xfId="0" applyNumberFormat="1" applyFont="1" applyFill="1" applyBorder="1" applyAlignment="1">
      <alignment horizontal="center"/>
    </xf>
    <xf numFmtId="164" fontId="4" fillId="2" borderId="60" xfId="0" applyNumberFormat="1" applyFont="1" applyFill="1" applyBorder="1" applyAlignment="1">
      <alignment horizontal="center"/>
    </xf>
    <xf numFmtId="164" fontId="4" fillId="2" borderId="48" xfId="0" applyNumberFormat="1" applyFont="1" applyFill="1" applyBorder="1" applyAlignment="1">
      <alignment horizontal="center"/>
    </xf>
    <xf numFmtId="0" fontId="4" fillId="2" borderId="32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169" fontId="4" fillId="2" borderId="36" xfId="0" applyNumberFormat="1" applyFont="1" applyFill="1" applyBorder="1"/>
    <xf numFmtId="169" fontId="4" fillId="2" borderId="15" xfId="0" applyNumberFormat="1" applyFont="1" applyFill="1" applyBorder="1"/>
    <xf numFmtId="1" fontId="4" fillId="2" borderId="32" xfId="0" applyNumberFormat="1" applyFont="1" applyFill="1" applyBorder="1" applyAlignment="1">
      <alignment horizontal="center"/>
    </xf>
    <xf numFmtId="169" fontId="4" fillId="2" borderId="36" xfId="0" applyNumberFormat="1" applyFont="1" applyFill="1" applyBorder="1" applyAlignment="1">
      <alignment horizontal="right"/>
    </xf>
    <xf numFmtId="164" fontId="4" fillId="2" borderId="63" xfId="0" applyNumberFormat="1" applyFont="1" applyFill="1" applyBorder="1" applyAlignment="1">
      <alignment horizontal="center"/>
    </xf>
    <xf numFmtId="1" fontId="4" fillId="2" borderId="46" xfId="0" applyNumberFormat="1" applyFont="1" applyFill="1" applyBorder="1" applyAlignment="1">
      <alignment horizontal="center"/>
    </xf>
    <xf numFmtId="0" fontId="4" fillId="2" borderId="46" xfId="0" applyNumberFormat="1" applyFont="1" applyFill="1" applyBorder="1"/>
    <xf numFmtId="1" fontId="4" fillId="2" borderId="63" xfId="0" applyNumberFormat="1" applyFont="1" applyFill="1" applyBorder="1" applyAlignment="1">
      <alignment horizontal="center"/>
    </xf>
    <xf numFmtId="169" fontId="4" fillId="2" borderId="61" xfId="0" applyNumberFormat="1" applyFont="1" applyFill="1" applyBorder="1" applyAlignment="1">
      <alignment horizontal="right"/>
    </xf>
    <xf numFmtId="1" fontId="4" fillId="2" borderId="59" xfId="0" applyNumberFormat="1" applyFont="1" applyFill="1" applyBorder="1" applyAlignment="1">
      <alignment horizontal="center"/>
    </xf>
    <xf numFmtId="173" fontId="4" fillId="2" borderId="37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center"/>
    </xf>
    <xf numFmtId="173" fontId="4" fillId="2" borderId="22" xfId="0" applyNumberFormat="1" applyFont="1" applyFill="1" applyBorder="1" applyAlignment="1">
      <alignment horizontal="right"/>
    </xf>
    <xf numFmtId="169" fontId="4" fillId="2" borderId="37" xfId="0" applyNumberFormat="1" applyFont="1" applyFill="1" applyBorder="1" applyAlignment="1">
      <alignment horizontal="right"/>
    </xf>
    <xf numFmtId="172" fontId="11" fillId="2" borderId="62" xfId="0" applyNumberFormat="1" applyFont="1" applyFill="1" applyBorder="1"/>
    <xf numFmtId="3" fontId="4" fillId="2" borderId="15" xfId="0" applyNumberFormat="1" applyFont="1" applyFill="1" applyBorder="1"/>
    <xf numFmtId="0" fontId="3" fillId="2" borderId="55" xfId="0" applyFont="1" applyFill="1" applyBorder="1" applyAlignment="1">
      <alignment horizontal="right"/>
    </xf>
    <xf numFmtId="3" fontId="3" fillId="2" borderId="23" xfId="0" applyNumberFormat="1" applyFont="1" applyFill="1" applyBorder="1" applyAlignment="1">
      <alignment horizontal="right"/>
    </xf>
    <xf numFmtId="0" fontId="3" fillId="2" borderId="5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right"/>
    </xf>
    <xf numFmtId="166" fontId="4" fillId="2" borderId="3" xfId="12" applyNumberFormat="1" applyFont="1" applyFill="1" applyBorder="1" applyAlignment="1">
      <alignment horizontal="right"/>
    </xf>
    <xf numFmtId="0" fontId="4" fillId="2" borderId="63" xfId="0" applyFont="1" applyFill="1" applyBorder="1" applyAlignment="1">
      <alignment horizontal="right"/>
    </xf>
    <xf numFmtId="0" fontId="3" fillId="2" borderId="21" xfId="0" applyFont="1" applyFill="1" applyBorder="1" applyAlignment="1">
      <alignment horizontal="right"/>
    </xf>
    <xf numFmtId="166" fontId="3" fillId="2" borderId="3" xfId="12" applyNumberFormat="1" applyFont="1" applyFill="1" applyBorder="1" applyAlignment="1">
      <alignment horizontal="right"/>
    </xf>
    <xf numFmtId="3" fontId="4" fillId="2" borderId="32" xfId="1" applyNumberFormat="1" applyFont="1" applyFill="1" applyBorder="1" applyAlignment="1">
      <alignment horizontal="right"/>
    </xf>
    <xf numFmtId="3" fontId="4" fillId="2" borderId="21" xfId="1" applyNumberFormat="1" applyFont="1" applyFill="1" applyBorder="1" applyAlignment="1">
      <alignment horizontal="right"/>
    </xf>
    <xf numFmtId="166" fontId="4" fillId="2" borderId="21" xfId="0" applyNumberFormat="1" applyFont="1" applyFill="1" applyBorder="1" applyAlignment="1">
      <alignment horizontal="right"/>
    </xf>
    <xf numFmtId="3" fontId="4" fillId="2" borderId="54" xfId="1" applyNumberFormat="1" applyFont="1" applyFill="1" applyBorder="1" applyAlignment="1">
      <alignment horizontal="right"/>
    </xf>
    <xf numFmtId="166" fontId="4" fillId="2" borderId="4" xfId="12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center"/>
    </xf>
    <xf numFmtId="3" fontId="3" fillId="0" borderId="68" xfId="1" applyNumberFormat="1" applyFont="1" applyFill="1" applyBorder="1" applyAlignment="1">
      <alignment horizontal="center"/>
    </xf>
    <xf numFmtId="3" fontId="3" fillId="0" borderId="35" xfId="1" applyNumberFormat="1" applyFont="1" applyFill="1" applyBorder="1" applyAlignment="1">
      <alignment horizontal="center"/>
    </xf>
    <xf numFmtId="3" fontId="4" fillId="0" borderId="20" xfId="1" applyNumberFormat="1" applyFont="1" applyFill="1" applyBorder="1"/>
    <xf numFmtId="3" fontId="4" fillId="0" borderId="39" xfId="0" applyNumberFormat="1" applyFont="1" applyBorder="1"/>
    <xf numFmtId="0" fontId="3" fillId="0" borderId="6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4" fillId="0" borderId="118" xfId="0" applyNumberFormat="1" applyFont="1" applyBorder="1"/>
    <xf numFmtId="169" fontId="4" fillId="2" borderId="36" xfId="1" applyNumberFormat="1" applyFont="1" applyFill="1" applyBorder="1"/>
    <xf numFmtId="169" fontId="4" fillId="2" borderId="88" xfId="1" applyNumberFormat="1" applyFont="1" applyFill="1" applyBorder="1"/>
    <xf numFmtId="3" fontId="3" fillId="0" borderId="36" xfId="1" applyNumberFormat="1" applyFont="1" applyFill="1" applyBorder="1" applyAlignment="1">
      <alignment horizontal="right"/>
    </xf>
    <xf numFmtId="168" fontId="3" fillId="0" borderId="88" xfId="1" applyNumberFormat="1" applyFont="1" applyFill="1" applyBorder="1"/>
    <xf numFmtId="3" fontId="11" fillId="0" borderId="108" xfId="0" applyNumberFormat="1" applyFont="1" applyBorder="1"/>
    <xf numFmtId="0" fontId="11" fillId="0" borderId="65" xfId="0" applyFont="1" applyBorder="1"/>
    <xf numFmtId="3" fontId="11" fillId="0" borderId="65" xfId="0" applyNumberFormat="1" applyFont="1" applyBorder="1"/>
    <xf numFmtId="170" fontId="4" fillId="0" borderId="106" xfId="0" applyNumberFormat="1" applyFont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70" fontId="4" fillId="0" borderId="0" xfId="0" applyNumberFormat="1" applyFont="1"/>
    <xf numFmtId="170" fontId="0" fillId="0" borderId="62" xfId="0" applyNumberFormat="1" applyBorder="1" applyAlignment="1"/>
    <xf numFmtId="170" fontId="3" fillId="2" borderId="0" xfId="11" quotePrefix="1" applyNumberFormat="1" applyFont="1" applyFill="1" applyBorder="1" applyAlignment="1">
      <alignment horizontal="center"/>
    </xf>
    <xf numFmtId="170" fontId="0" fillId="2" borderId="86" xfId="0" applyNumberFormat="1" applyFill="1" applyBorder="1" applyAlignment="1"/>
    <xf numFmtId="170" fontId="3" fillId="2" borderId="0" xfId="11" applyNumberFormat="1" applyFont="1" applyFill="1" applyBorder="1" applyAlignment="1">
      <alignment horizontal="center"/>
    </xf>
    <xf numFmtId="170" fontId="0" fillId="2" borderId="86" xfId="0" applyNumberFormat="1" applyFill="1" applyBorder="1" applyAlignment="1">
      <alignment horizontal="center"/>
    </xf>
    <xf numFmtId="170" fontId="4" fillId="2" borderId="86" xfId="0" applyNumberFormat="1" applyFont="1" applyFill="1" applyBorder="1"/>
    <xf numFmtId="170" fontId="4" fillId="0" borderId="0" xfId="0" applyNumberFormat="1" applyFont="1" applyFill="1"/>
    <xf numFmtId="170" fontId="4" fillId="0" borderId="86" xfId="0" applyNumberFormat="1" applyFont="1" applyFill="1" applyBorder="1"/>
    <xf numFmtId="170" fontId="4" fillId="0" borderId="0" xfId="0" applyNumberFormat="1" applyFont="1" applyBorder="1"/>
    <xf numFmtId="170" fontId="4" fillId="2" borderId="0" xfId="0" applyNumberFormat="1" applyFont="1" applyFill="1" applyBorder="1"/>
    <xf numFmtId="170" fontId="4" fillId="2" borderId="62" xfId="11" applyNumberFormat="1" applyFont="1" applyFill="1" applyBorder="1" applyAlignment="1"/>
    <xf numFmtId="170" fontId="4" fillId="0" borderId="60" xfId="0" applyNumberFormat="1" applyFont="1" applyFill="1" applyBorder="1"/>
    <xf numFmtId="170" fontId="4" fillId="0" borderId="62" xfId="0" applyNumberFormat="1" applyFont="1" applyFill="1" applyBorder="1"/>
    <xf numFmtId="1" fontId="4" fillId="0" borderId="60" xfId="0" applyNumberFormat="1" applyFont="1" applyFill="1" applyBorder="1"/>
    <xf numFmtId="3" fontId="4" fillId="0" borderId="62" xfId="0" applyNumberFormat="1" applyFont="1" applyFill="1" applyBorder="1"/>
    <xf numFmtId="170" fontId="4" fillId="0" borderId="0" xfId="0" applyNumberFormat="1" applyFont="1" applyFill="1" applyBorder="1"/>
    <xf numFmtId="170" fontId="4" fillId="2" borderId="82" xfId="11" applyNumberFormat="1" applyFont="1" applyFill="1" applyBorder="1" applyAlignment="1">
      <alignment horizontal="right"/>
    </xf>
    <xf numFmtId="170" fontId="4" fillId="2" borderId="85" xfId="11" applyNumberFormat="1" applyFont="1" applyFill="1" applyBorder="1" applyAlignment="1">
      <alignment horizontal="right"/>
    </xf>
    <xf numFmtId="170" fontId="4" fillId="2" borderId="82" xfId="0" applyNumberFormat="1" applyFont="1" applyFill="1" applyBorder="1"/>
    <xf numFmtId="170" fontId="4" fillId="2" borderId="85" xfId="0" applyNumberFormat="1" applyFont="1" applyFill="1" applyBorder="1"/>
    <xf numFmtId="170" fontId="4" fillId="0" borderId="82" xfId="0" applyNumberFormat="1" applyFont="1" applyFill="1" applyBorder="1"/>
    <xf numFmtId="170" fontId="4" fillId="2" borderId="96" xfId="0" applyNumberFormat="1" applyFont="1" applyFill="1" applyBorder="1"/>
    <xf numFmtId="0" fontId="0" fillId="0" borderId="60" xfId="0" applyBorder="1" applyAlignment="1">
      <alignment horizontal="center"/>
    </xf>
    <xf numFmtId="0" fontId="11" fillId="0" borderId="0" xfId="0" applyFont="1" applyBorder="1"/>
    <xf numFmtId="170" fontId="11" fillId="0" borderId="0" xfId="0" applyNumberFormat="1" applyFont="1" applyBorder="1"/>
    <xf numFmtId="1" fontId="11" fillId="0" borderId="0" xfId="0" applyNumberFormat="1" applyFont="1" applyBorder="1"/>
    <xf numFmtId="167" fontId="4" fillId="2" borderId="89" xfId="0" applyNumberFormat="1" applyFont="1" applyFill="1" applyBorder="1" applyAlignment="1">
      <alignment horizontal="center"/>
    </xf>
    <xf numFmtId="167" fontId="4" fillId="2" borderId="50" xfId="0" applyNumberFormat="1" applyFont="1" applyFill="1" applyBorder="1" applyAlignment="1">
      <alignment horizontal="center"/>
    </xf>
    <xf numFmtId="0" fontId="4" fillId="2" borderId="44" xfId="0" applyFont="1" applyFill="1" applyBorder="1"/>
    <xf numFmtId="0" fontId="4" fillId="2" borderId="93" xfId="0" applyFont="1" applyFill="1" applyBorder="1"/>
    <xf numFmtId="0" fontId="4" fillId="2" borderId="45" xfId="0" applyFont="1" applyFill="1" applyBorder="1"/>
    <xf numFmtId="0" fontId="4" fillId="2" borderId="101" xfId="0" applyFont="1" applyFill="1" applyBorder="1"/>
    <xf numFmtId="3" fontId="4" fillId="2" borderId="101" xfId="0" applyNumberFormat="1" applyFont="1" applyFill="1" applyBorder="1"/>
    <xf numFmtId="0" fontId="4" fillId="2" borderId="95" xfId="0" applyFont="1" applyFill="1" applyBorder="1"/>
    <xf numFmtId="3" fontId="3" fillId="2" borderId="108" xfId="0" applyNumberFormat="1" applyFont="1" applyFill="1" applyBorder="1"/>
    <xf numFmtId="0" fontId="4" fillId="2" borderId="105" xfId="0" applyFont="1" applyFill="1" applyBorder="1"/>
    <xf numFmtId="9" fontId="4" fillId="2" borderId="101" xfId="0" applyNumberFormat="1" applyFont="1" applyFill="1" applyBorder="1"/>
    <xf numFmtId="9" fontId="4" fillId="2" borderId="107" xfId="0" applyNumberFormat="1" applyFont="1" applyFill="1" applyBorder="1"/>
    <xf numFmtId="166" fontId="4" fillId="0" borderId="119" xfId="11" applyNumberFormat="1" applyFont="1" applyBorder="1"/>
    <xf numFmtId="166" fontId="4" fillId="0" borderId="93" xfId="13" applyNumberFormat="1" applyFont="1" applyFill="1" applyBorder="1"/>
    <xf numFmtId="5" fontId="4" fillId="2" borderId="36" xfId="0" applyNumberFormat="1" applyFont="1" applyFill="1" applyBorder="1" applyAlignment="1">
      <alignment horizontal="center"/>
    </xf>
    <xf numFmtId="5" fontId="4" fillId="2" borderId="37" xfId="0" applyNumberFormat="1" applyFont="1" applyFill="1" applyBorder="1" applyAlignment="1">
      <alignment horizontal="center"/>
    </xf>
    <xf numFmtId="5" fontId="4" fillId="0" borderId="15" xfId="0" applyNumberFormat="1" applyFont="1" applyFill="1" applyBorder="1"/>
    <xf numFmtId="5" fontId="4" fillId="0" borderId="22" xfId="0" applyNumberFormat="1" applyFont="1" applyFill="1" applyBorder="1"/>
    <xf numFmtId="5" fontId="4" fillId="0" borderId="36" xfId="0" applyNumberFormat="1" applyFont="1" applyFill="1" applyBorder="1" applyAlignment="1">
      <alignment horizontal="center"/>
    </xf>
    <xf numFmtId="5" fontId="4" fillId="0" borderId="37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3" fontId="4" fillId="0" borderId="35" xfId="1" applyNumberFormat="1" applyFont="1" applyFill="1" applyBorder="1"/>
    <xf numFmtId="3" fontId="4" fillId="0" borderId="88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0" fontId="4" fillId="4" borderId="46" xfId="0" applyFont="1" applyFill="1" applyBorder="1" applyAlignment="1">
      <alignment horizontal="right"/>
    </xf>
    <xf numFmtId="166" fontId="4" fillId="4" borderId="18" xfId="12" applyNumberFormat="1" applyFont="1" applyFill="1" applyBorder="1" applyAlignment="1">
      <alignment horizontal="right"/>
    </xf>
    <xf numFmtId="166" fontId="4" fillId="4" borderId="3" xfId="12" applyNumberFormat="1" applyFont="1" applyFill="1" applyBorder="1" applyAlignment="1">
      <alignment horizontal="right"/>
    </xf>
    <xf numFmtId="0" fontId="4" fillId="4" borderId="63" xfId="0" applyFont="1" applyFill="1" applyBorder="1" applyAlignment="1">
      <alignment horizontal="right"/>
    </xf>
    <xf numFmtId="0" fontId="3" fillId="0" borderId="44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4" fontId="11" fillId="0" borderId="0" xfId="0" applyNumberFormat="1" applyFont="1" applyBorder="1" applyAlignment="1">
      <alignment horizontal="center"/>
    </xf>
    <xf numFmtId="167" fontId="11" fillId="0" borderId="90" xfId="0" applyNumberFormat="1" applyFont="1" applyBorder="1" applyAlignment="1">
      <alignment horizontal="center"/>
    </xf>
    <xf numFmtId="4" fontId="11" fillId="0" borderId="99" xfId="0" applyNumberFormat="1" applyFont="1" applyBorder="1" applyAlignment="1">
      <alignment horizontal="center"/>
    </xf>
    <xf numFmtId="0" fontId="4" fillId="0" borderId="84" xfId="0" applyFont="1" applyBorder="1" applyAlignment="1">
      <alignment horizontal="left"/>
    </xf>
    <xf numFmtId="1" fontId="4" fillId="0" borderId="16" xfId="12" applyNumberFormat="1" applyFont="1" applyFill="1" applyBorder="1" applyAlignment="1">
      <alignment horizontal="center"/>
    </xf>
    <xf numFmtId="2" fontId="4" fillId="0" borderId="35" xfId="12" applyNumberFormat="1" applyFont="1" applyFill="1" applyBorder="1" applyAlignment="1">
      <alignment horizontal="center"/>
    </xf>
    <xf numFmtId="2" fontId="4" fillId="0" borderId="23" xfId="12" applyNumberFormat="1" applyFont="1" applyFill="1" applyBorder="1" applyAlignment="1">
      <alignment horizontal="center"/>
    </xf>
    <xf numFmtId="2" fontId="4" fillId="0" borderId="0" xfId="12" applyNumberFormat="1" applyFont="1" applyFill="1" applyBorder="1" applyAlignment="1">
      <alignment horizontal="center"/>
    </xf>
    <xf numFmtId="1" fontId="4" fillId="0" borderId="23" xfId="12" applyNumberFormat="1" applyFont="1" applyFill="1" applyBorder="1" applyAlignment="1">
      <alignment horizontal="center"/>
    </xf>
    <xf numFmtId="0" fontId="4" fillId="4" borderId="54" xfId="0" applyFont="1" applyFill="1" applyBorder="1" applyAlignment="1"/>
    <xf numFmtId="0" fontId="4" fillId="4" borderId="24" xfId="0" applyFont="1" applyFill="1" applyBorder="1" applyAlignment="1">
      <alignment horizontal="left"/>
    </xf>
    <xf numFmtId="0" fontId="4" fillId="4" borderId="8" xfId="0" applyFont="1" applyFill="1" applyBorder="1"/>
    <xf numFmtId="0" fontId="4" fillId="4" borderId="24" xfId="0" applyFont="1" applyFill="1" applyBorder="1" applyAlignment="1">
      <alignment horizontal="right"/>
    </xf>
    <xf numFmtId="3" fontId="4" fillId="4" borderId="21" xfId="1" applyNumberFormat="1" applyFont="1" applyFill="1" applyBorder="1" applyAlignment="1">
      <alignment horizontal="right"/>
    </xf>
    <xf numFmtId="166" fontId="4" fillId="4" borderId="36" xfId="1" applyNumberFormat="1" applyFont="1" applyFill="1" applyBorder="1" applyAlignment="1">
      <alignment horizontal="right"/>
    </xf>
    <xf numFmtId="0" fontId="4" fillId="4" borderId="21" xfId="0" applyFont="1" applyFill="1" applyBorder="1" applyAlignment="1">
      <alignment horizontal="right"/>
    </xf>
    <xf numFmtId="0" fontId="4" fillId="4" borderId="49" xfId="0" applyFont="1" applyFill="1" applyBorder="1" applyAlignment="1">
      <alignment horizontal="right"/>
    </xf>
    <xf numFmtId="166" fontId="4" fillId="4" borderId="3" xfId="1" applyNumberFormat="1" applyFont="1" applyFill="1" applyBorder="1" applyAlignment="1">
      <alignment horizontal="right"/>
    </xf>
    <xf numFmtId="166" fontId="4" fillId="4" borderId="18" xfId="1" applyNumberFormat="1" applyFont="1" applyFill="1" applyBorder="1" applyAlignment="1">
      <alignment horizontal="right"/>
    </xf>
    <xf numFmtId="0" fontId="3" fillId="0" borderId="48" xfId="0" applyFont="1" applyFill="1" applyBorder="1" applyAlignment="1">
      <alignment horizontal="center"/>
    </xf>
    <xf numFmtId="3" fontId="3" fillId="0" borderId="58" xfId="0" applyNumberFormat="1" applyFont="1" applyFill="1" applyBorder="1" applyAlignment="1">
      <alignment horizontal="center"/>
    </xf>
    <xf numFmtId="166" fontId="4" fillId="0" borderId="36" xfId="0" applyNumberFormat="1" applyFont="1" applyFill="1" applyBorder="1"/>
    <xf numFmtId="3" fontId="4" fillId="4" borderId="7" xfId="0" applyNumberFormat="1" applyFont="1" applyFill="1" applyBorder="1" applyAlignment="1">
      <alignment horizontal="right"/>
    </xf>
    <xf numFmtId="166" fontId="4" fillId="4" borderId="36" xfId="0" applyNumberFormat="1" applyFont="1" applyFill="1" applyBorder="1"/>
    <xf numFmtId="4" fontId="4" fillId="0" borderId="108" xfId="0" applyNumberFormat="1" applyFont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3" fontId="4" fillId="2" borderId="22" xfId="0" applyNumberFormat="1" applyFont="1" applyFill="1" applyBorder="1" applyAlignment="1">
      <alignment horizontal="center"/>
    </xf>
    <xf numFmtId="0" fontId="4" fillId="2" borderId="9" xfId="0" applyFont="1" applyFill="1" applyBorder="1"/>
    <xf numFmtId="3" fontId="4" fillId="2" borderId="20" xfId="0" applyNumberFormat="1" applyFont="1" applyFill="1" applyBorder="1" applyAlignment="1">
      <alignment horizontal="right"/>
    </xf>
    <xf numFmtId="3" fontId="4" fillId="2" borderId="34" xfId="0" applyNumberFormat="1" applyFont="1" applyFill="1" applyBorder="1" applyAlignment="1">
      <alignment horizontal="right"/>
    </xf>
    <xf numFmtId="169" fontId="4" fillId="0" borderId="88" xfId="1" applyNumberFormat="1" applyFont="1" applyFill="1" applyBorder="1" applyAlignment="1">
      <alignment horizontal="center"/>
    </xf>
    <xf numFmtId="5" fontId="4" fillId="0" borderId="22" xfId="0" applyNumberFormat="1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3" fontId="4" fillId="2" borderId="49" xfId="1" applyNumberFormat="1" applyFont="1" applyFill="1" applyBorder="1" applyAlignment="1">
      <alignment horizontal="right"/>
    </xf>
    <xf numFmtId="3" fontId="4" fillId="2" borderId="34" xfId="1" applyNumberFormat="1" applyFont="1" applyFill="1" applyBorder="1" applyAlignment="1">
      <alignment horizontal="right"/>
    </xf>
    <xf numFmtId="3" fontId="4" fillId="2" borderId="33" xfId="1" applyNumberFormat="1" applyFont="1" applyFill="1" applyBorder="1" applyAlignment="1">
      <alignment horizontal="right"/>
    </xf>
    <xf numFmtId="3" fontId="4" fillId="2" borderId="7" xfId="0" applyNumberFormat="1" applyFont="1" applyFill="1" applyBorder="1"/>
    <xf numFmtId="170" fontId="3" fillId="0" borderId="0" xfId="11" applyNumberFormat="1" applyFont="1" applyFill="1" applyBorder="1" applyAlignment="1">
      <alignment horizontal="center"/>
    </xf>
    <xf numFmtId="170" fontId="4" fillId="0" borderId="62" xfId="0" applyNumberFormat="1" applyFont="1" applyFill="1" applyBorder="1" applyAlignment="1">
      <alignment horizontal="center"/>
    </xf>
    <xf numFmtId="170" fontId="4" fillId="0" borderId="85" xfId="0" applyNumberFormat="1" applyFont="1" applyFill="1" applyBorder="1"/>
    <xf numFmtId="0" fontId="4" fillId="4" borderId="52" xfId="0" applyFont="1" applyFill="1" applyBorder="1" applyAlignment="1">
      <alignment horizontal="right"/>
    </xf>
    <xf numFmtId="3" fontId="4" fillId="4" borderId="20" xfId="0" applyNumberFormat="1" applyFont="1" applyFill="1" applyBorder="1" applyAlignment="1">
      <alignment horizontal="right"/>
    </xf>
    <xf numFmtId="0" fontId="4" fillId="4" borderId="9" xfId="0" applyFont="1" applyFill="1" applyBorder="1" applyAlignment="1">
      <alignment horizontal="right"/>
    </xf>
    <xf numFmtId="3" fontId="4" fillId="4" borderId="10" xfId="0" applyNumberFormat="1" applyFont="1" applyFill="1" applyBorder="1" applyAlignment="1">
      <alignment horizontal="right"/>
    </xf>
    <xf numFmtId="0" fontId="4" fillId="4" borderId="52" xfId="0" applyFont="1" applyFill="1" applyBorder="1"/>
    <xf numFmtId="166" fontId="4" fillId="2" borderId="57" xfId="13" applyNumberFormat="1" applyFont="1" applyFill="1" applyBorder="1"/>
    <xf numFmtId="166" fontId="4" fillId="2" borderId="58" xfId="13" applyNumberFormat="1" applyFont="1" applyFill="1" applyBorder="1"/>
    <xf numFmtId="166" fontId="4" fillId="2" borderId="31" xfId="13" applyNumberFormat="1" applyFont="1" applyFill="1" applyBorder="1"/>
    <xf numFmtId="166" fontId="4" fillId="2" borderId="32" xfId="13" applyNumberFormat="1" applyFont="1" applyFill="1" applyBorder="1"/>
    <xf numFmtId="5" fontId="4" fillId="2" borderId="35" xfId="0" applyNumberFormat="1" applyFont="1" applyFill="1" applyBorder="1" applyAlignment="1">
      <alignment horizontal="right"/>
    </xf>
    <xf numFmtId="169" fontId="4" fillId="2" borderId="56" xfId="0" applyNumberFormat="1" applyFont="1" applyFill="1" applyBorder="1" applyAlignment="1">
      <alignment horizontal="right"/>
    </xf>
    <xf numFmtId="1" fontId="4" fillId="2" borderId="44" xfId="0" applyNumberFormat="1" applyFont="1" applyFill="1" applyBorder="1"/>
    <xf numFmtId="166" fontId="4" fillId="2" borderId="93" xfId="0" applyNumberFormat="1" applyFont="1" applyFill="1" applyBorder="1"/>
    <xf numFmtId="1" fontId="4" fillId="2" borderId="90" xfId="0" applyNumberFormat="1" applyFont="1" applyFill="1" applyBorder="1"/>
    <xf numFmtId="166" fontId="4" fillId="2" borderId="50" xfId="0" applyNumberFormat="1" applyFont="1" applyFill="1" applyBorder="1"/>
    <xf numFmtId="1" fontId="11" fillId="0" borderId="120" xfId="0" applyNumberFormat="1" applyFont="1" applyBorder="1"/>
    <xf numFmtId="1" fontId="11" fillId="0" borderId="121" xfId="0" applyNumberFormat="1" applyFont="1" applyBorder="1"/>
    <xf numFmtId="3" fontId="4" fillId="0" borderId="15" xfId="1" applyNumberFormat="1" applyFont="1" applyFill="1" applyBorder="1" applyAlignment="1">
      <alignment horizontal="left"/>
    </xf>
    <xf numFmtId="3" fontId="4" fillId="0" borderId="32" xfId="1" applyNumberFormat="1" applyFont="1" applyFill="1" applyBorder="1" applyAlignment="1">
      <alignment horizontal="left"/>
    </xf>
    <xf numFmtId="3" fontId="4" fillId="0" borderId="36" xfId="1" applyNumberFormat="1" applyFont="1" applyFill="1" applyBorder="1" applyAlignment="1">
      <alignment horizontal="left"/>
    </xf>
    <xf numFmtId="0" fontId="12" fillId="0" borderId="0" xfId="0" applyFont="1" applyBorder="1"/>
    <xf numFmtId="172" fontId="4" fillId="2" borderId="37" xfId="0" applyNumberFormat="1" applyFont="1" applyFill="1" applyBorder="1" applyAlignment="1">
      <alignment horizontal="center"/>
    </xf>
    <xf numFmtId="169" fontId="4" fillId="0" borderId="36" xfId="0" applyNumberFormat="1" applyFont="1" applyFill="1" applyBorder="1" applyAlignment="1">
      <alignment horizontal="center"/>
    </xf>
    <xf numFmtId="169" fontId="4" fillId="0" borderId="58" xfId="0" applyNumberFormat="1" applyFont="1" applyFill="1" applyBorder="1" applyAlignment="1">
      <alignment horizontal="center"/>
    </xf>
    <xf numFmtId="3" fontId="4" fillId="0" borderId="41" xfId="0" applyNumberFormat="1" applyFont="1" applyFill="1" applyBorder="1"/>
    <xf numFmtId="0" fontId="4" fillId="5" borderId="34" xfId="0" applyFont="1" applyFill="1" applyBorder="1" applyAlignment="1">
      <alignment horizontal="right"/>
    </xf>
    <xf numFmtId="0" fontId="4" fillId="5" borderId="18" xfId="0" applyFont="1" applyFill="1" applyBorder="1" applyAlignment="1">
      <alignment horizontal="right"/>
    </xf>
    <xf numFmtId="0" fontId="4" fillId="5" borderId="20" xfId="0" applyFont="1" applyFill="1" applyBorder="1"/>
    <xf numFmtId="0" fontId="4" fillId="5" borderId="18" xfId="0" applyFont="1" applyFill="1" applyBorder="1"/>
    <xf numFmtId="3" fontId="4" fillId="5" borderId="18" xfId="0" applyNumberFormat="1" applyFont="1" applyFill="1" applyBorder="1" applyAlignment="1">
      <alignment horizontal="right"/>
    </xf>
    <xf numFmtId="3" fontId="4" fillId="5" borderId="20" xfId="0" applyNumberFormat="1" applyFont="1" applyFill="1" applyBorder="1" applyAlignment="1">
      <alignment horizontal="right"/>
    </xf>
    <xf numFmtId="3" fontId="4" fillId="5" borderId="34" xfId="0" applyNumberFormat="1" applyFont="1" applyFill="1" applyBorder="1" applyAlignment="1">
      <alignment horizontal="right"/>
    </xf>
    <xf numFmtId="3" fontId="4" fillId="5" borderId="56" xfId="0" applyNumberFormat="1" applyFont="1" applyFill="1" applyBorder="1" applyAlignment="1">
      <alignment horizontal="right"/>
    </xf>
    <xf numFmtId="0" fontId="4" fillId="5" borderId="18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4" fillId="5" borderId="24" xfId="0" applyFont="1" applyFill="1" applyBorder="1"/>
    <xf numFmtId="0" fontId="4" fillId="5" borderId="34" xfId="0" applyFont="1" applyFill="1" applyBorder="1"/>
    <xf numFmtId="0" fontId="4" fillId="5" borderId="9" xfId="0" applyFont="1" applyFill="1" applyBorder="1"/>
    <xf numFmtId="0" fontId="4" fillId="5" borderId="52" xfId="0" applyFont="1" applyFill="1" applyBorder="1" applyAlignment="1">
      <alignment horizontal="right"/>
    </xf>
    <xf numFmtId="0" fontId="4" fillId="5" borderId="9" xfId="0" applyFont="1" applyFill="1" applyBorder="1" applyAlignment="1">
      <alignment horizontal="right"/>
    </xf>
    <xf numFmtId="3" fontId="4" fillId="5" borderId="10" xfId="0" applyNumberFormat="1" applyFont="1" applyFill="1" applyBorder="1" applyAlignment="1">
      <alignment horizontal="right"/>
    </xf>
    <xf numFmtId="0" fontId="4" fillId="5" borderId="52" xfId="0" applyFont="1" applyFill="1" applyBorder="1"/>
    <xf numFmtId="173" fontId="4" fillId="0" borderId="62" xfId="0" applyNumberFormat="1" applyFont="1" applyFill="1" applyBorder="1"/>
    <xf numFmtId="1" fontId="4" fillId="5" borderId="101" xfId="0" applyNumberFormat="1" applyFont="1" applyFill="1" applyBorder="1"/>
    <xf numFmtId="173" fontId="4" fillId="0" borderId="107" xfId="0" applyNumberFormat="1" applyFont="1" applyBorder="1"/>
    <xf numFmtId="0" fontId="0" fillId="0" borderId="119" xfId="0" applyBorder="1"/>
    <xf numFmtId="1" fontId="4" fillId="0" borderId="50" xfId="0" applyNumberFormat="1" applyFont="1" applyBorder="1"/>
    <xf numFmtId="1" fontId="4" fillId="5" borderId="18" xfId="0" applyNumberFormat="1" applyFont="1" applyFill="1" applyBorder="1"/>
    <xf numFmtId="164" fontId="4" fillId="5" borderId="37" xfId="0" applyNumberFormat="1" applyFont="1" applyFill="1" applyBorder="1" applyAlignment="1">
      <alignment horizontal="center"/>
    </xf>
    <xf numFmtId="3" fontId="4" fillId="5" borderId="34" xfId="1" applyNumberFormat="1" applyFont="1" applyFill="1" applyBorder="1" applyAlignment="1">
      <alignment horizontal="right"/>
    </xf>
    <xf numFmtId="3" fontId="4" fillId="5" borderId="15" xfId="1" applyNumberFormat="1" applyFont="1" applyFill="1" applyBorder="1" applyAlignment="1">
      <alignment horizontal="right"/>
    </xf>
    <xf numFmtId="3" fontId="4" fillId="5" borderId="18" xfId="1" applyNumberFormat="1" applyFont="1" applyFill="1" applyBorder="1"/>
    <xf numFmtId="3" fontId="4" fillId="5" borderId="20" xfId="1" applyNumberFormat="1" applyFont="1" applyFill="1" applyBorder="1"/>
    <xf numFmtId="3" fontId="4" fillId="5" borderId="24" xfId="1" applyNumberFormat="1" applyFont="1" applyFill="1" applyBorder="1" applyAlignment="1">
      <alignment horizontal="right"/>
    </xf>
    <xf numFmtId="3" fontId="3" fillId="0" borderId="36" xfId="0" applyNumberFormat="1" applyFont="1" applyBorder="1"/>
    <xf numFmtId="3" fontId="3" fillId="0" borderId="36" xfId="0" applyNumberFormat="1" applyFont="1" applyFill="1" applyBorder="1"/>
    <xf numFmtId="3" fontId="4" fillId="5" borderId="36" xfId="1" applyNumberFormat="1" applyFont="1" applyFill="1" applyBorder="1" applyAlignment="1">
      <alignment horizontal="right"/>
    </xf>
    <xf numFmtId="3" fontId="4" fillId="5" borderId="36" xfId="1" applyNumberFormat="1" applyFont="1" applyFill="1" applyBorder="1"/>
    <xf numFmtId="3" fontId="3" fillId="5" borderId="56" xfId="0" applyNumberFormat="1" applyFont="1" applyFill="1" applyBorder="1"/>
    <xf numFmtId="170" fontId="4" fillId="0" borderId="96" xfId="0" applyNumberFormat="1" applyFont="1" applyFill="1" applyBorder="1"/>
    <xf numFmtId="1" fontId="4" fillId="0" borderId="82" xfId="0" applyNumberFormat="1" applyFont="1" applyFill="1" applyBorder="1"/>
    <xf numFmtId="1" fontId="4" fillId="0" borderId="18" xfId="0" applyNumberFormat="1" applyFont="1" applyFill="1" applyBorder="1"/>
    <xf numFmtId="170" fontId="4" fillId="0" borderId="60" xfId="11" applyNumberFormat="1" applyFont="1" applyFill="1" applyBorder="1" applyAlignment="1"/>
    <xf numFmtId="170" fontId="4" fillId="0" borderId="62" xfId="11" applyNumberFormat="1" applyFont="1" applyFill="1" applyBorder="1" applyAlignment="1"/>
    <xf numFmtId="0" fontId="4" fillId="0" borderId="60" xfId="0" applyFont="1" applyFill="1" applyBorder="1" applyAlignment="1"/>
    <xf numFmtId="0" fontId="4" fillId="0" borderId="62" xfId="0" applyFont="1" applyFill="1" applyBorder="1" applyAlignment="1"/>
    <xf numFmtId="3" fontId="4" fillId="0" borderId="60" xfId="11" applyNumberFormat="1" applyFont="1" applyFill="1" applyBorder="1" applyAlignment="1"/>
    <xf numFmtId="3" fontId="4" fillId="0" borderId="62" xfId="11" applyNumberFormat="1" applyFont="1" applyFill="1" applyBorder="1" applyAlignment="1"/>
    <xf numFmtId="3" fontId="4" fillId="0" borderId="96" xfId="11" applyNumberFormat="1" applyFont="1" applyFill="1" applyBorder="1" applyAlignment="1"/>
    <xf numFmtId="3" fontId="4" fillId="0" borderId="85" xfId="11" applyNumberFormat="1" applyFont="1" applyFill="1" applyBorder="1" applyAlignment="1"/>
    <xf numFmtId="0" fontId="4" fillId="5" borderId="42" xfId="0" applyFont="1" applyFill="1" applyBorder="1" applyAlignment="1">
      <alignment horizontal="right"/>
    </xf>
    <xf numFmtId="3" fontId="4" fillId="5" borderId="67" xfId="0" applyNumberFormat="1" applyFont="1" applyFill="1" applyBorder="1" applyAlignment="1">
      <alignment horizontal="right"/>
    </xf>
    <xf numFmtId="0" fontId="4" fillId="5" borderId="42" xfId="0" applyFont="1" applyFill="1" applyBorder="1"/>
    <xf numFmtId="0" fontId="4" fillId="5" borderId="77" xfId="0" applyFont="1" applyFill="1" applyBorder="1"/>
    <xf numFmtId="3" fontId="4" fillId="5" borderId="43" xfId="0" applyNumberFormat="1" applyFont="1" applyFill="1" applyBorder="1" applyAlignment="1">
      <alignment horizontal="right"/>
    </xf>
    <xf numFmtId="1" fontId="4" fillId="5" borderId="34" xfId="0" applyNumberFormat="1" applyFont="1" applyFill="1" applyBorder="1"/>
    <xf numFmtId="0" fontId="4" fillId="5" borderId="0" xfId="0" applyFont="1" applyFill="1"/>
    <xf numFmtId="1" fontId="4" fillId="5" borderId="43" xfId="0" applyNumberFormat="1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1" fontId="4" fillId="0" borderId="34" xfId="0" applyNumberFormat="1" applyFont="1" applyFill="1" applyBorder="1"/>
    <xf numFmtId="0" fontId="4" fillId="0" borderId="61" xfId="0" applyFont="1" applyFill="1" applyBorder="1"/>
    <xf numFmtId="3" fontId="4" fillId="5" borderId="36" xfId="0" applyNumberFormat="1" applyFont="1" applyFill="1" applyBorder="1"/>
    <xf numFmtId="3" fontId="3" fillId="5" borderId="36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12" fillId="0" borderId="0" xfId="0" applyFont="1"/>
    <xf numFmtId="0" fontId="3" fillId="0" borderId="1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22" xfId="11" applyFont="1" applyFill="1" applyBorder="1" applyAlignment="1">
      <alignment horizontal="center"/>
    </xf>
    <xf numFmtId="0" fontId="3" fillId="0" borderId="123" xfId="11" applyFont="1" applyFill="1" applyBorder="1" applyAlignment="1">
      <alignment horizontal="center"/>
    </xf>
    <xf numFmtId="0" fontId="3" fillId="0" borderId="122" xfId="0" applyFont="1" applyFill="1" applyBorder="1" applyAlignment="1">
      <alignment horizontal="center"/>
    </xf>
    <xf numFmtId="0" fontId="3" fillId="0" borderId="123" xfId="0" applyFont="1" applyFill="1" applyBorder="1" applyAlignment="1">
      <alignment horizontal="center"/>
    </xf>
    <xf numFmtId="0" fontId="0" fillId="0" borderId="123" xfId="0" applyBorder="1" applyAlignment="1">
      <alignment horizontal="center"/>
    </xf>
    <xf numFmtId="166" fontId="4" fillId="0" borderId="23" xfId="11" applyNumberFormat="1" applyFont="1" applyFill="1" applyBorder="1" applyAlignment="1"/>
    <xf numFmtId="166" fontId="4" fillId="0" borderId="56" xfId="11" applyNumberFormat="1" applyFont="1" applyFill="1" applyBorder="1" applyAlignment="1"/>
    <xf numFmtId="0" fontId="3" fillId="0" borderId="124" xfId="0" applyFont="1" applyBorder="1" applyAlignment="1">
      <alignment horizontal="center"/>
    </xf>
    <xf numFmtId="0" fontId="3" fillId="0" borderId="123" xfId="0" applyFont="1" applyBorder="1" applyAlignment="1">
      <alignment horizontal="center"/>
    </xf>
    <xf numFmtId="0" fontId="3" fillId="0" borderId="122" xfId="0" applyFont="1" applyBorder="1" applyAlignment="1">
      <alignment horizontal="center"/>
    </xf>
    <xf numFmtId="0" fontId="3" fillId="0" borderId="122" xfId="11" quotePrefix="1" applyFont="1" applyBorder="1" applyAlignment="1">
      <alignment horizontal="center"/>
    </xf>
    <xf numFmtId="0" fontId="0" fillId="0" borderId="123" xfId="0" applyBorder="1" applyAlignment="1"/>
    <xf numFmtId="0" fontId="3" fillId="0" borderId="124" xfId="11" quotePrefix="1" applyFont="1" applyBorder="1" applyAlignment="1">
      <alignment horizontal="center"/>
    </xf>
    <xf numFmtId="0" fontId="3" fillId="0" borderId="124" xfId="0" applyFont="1" applyFill="1" applyBorder="1" applyAlignment="1">
      <alignment horizontal="center"/>
    </xf>
    <xf numFmtId="166" fontId="4" fillId="2" borderId="57" xfId="13" applyNumberFormat="1" applyFont="1" applyFill="1" applyBorder="1" applyAlignment="1"/>
    <xf numFmtId="166" fontId="0" fillId="2" borderId="58" xfId="0" applyNumberFormat="1" applyFill="1" applyBorder="1" applyAlignment="1"/>
    <xf numFmtId="166" fontId="4" fillId="0" borderId="32" xfId="13" applyNumberFormat="1" applyFont="1" applyBorder="1" applyAlignment="1"/>
    <xf numFmtId="166" fontId="4" fillId="0" borderId="36" xfId="13" applyNumberFormat="1" applyFont="1" applyBorder="1" applyAlignment="1"/>
    <xf numFmtId="166" fontId="4" fillId="0" borderId="23" xfId="11" applyNumberFormat="1" applyFont="1" applyBorder="1" applyAlignment="1"/>
    <xf numFmtId="166" fontId="4" fillId="0" borderId="56" xfId="11" applyNumberFormat="1" applyFont="1" applyBorder="1" applyAlignment="1"/>
    <xf numFmtId="166" fontId="4" fillId="0" borderId="55" xfId="11" applyNumberFormat="1" applyFont="1" applyBorder="1" applyAlignment="1"/>
    <xf numFmtId="166" fontId="4" fillId="0" borderId="48" xfId="11" applyNumberFormat="1" applyFont="1" applyBorder="1" applyAlignment="1"/>
    <xf numFmtId="166" fontId="4" fillId="0" borderId="58" xfId="11" applyNumberFormat="1" applyFont="1" applyBorder="1" applyAlignment="1"/>
    <xf numFmtId="166" fontId="4" fillId="0" borderId="57" xfId="13" applyNumberFormat="1" applyFont="1" applyBorder="1" applyAlignment="1"/>
    <xf numFmtId="166" fontId="4" fillId="0" borderId="58" xfId="13" applyNumberFormat="1" applyFont="1" applyBorder="1" applyAlignment="1"/>
    <xf numFmtId="166" fontId="4" fillId="2" borderId="32" xfId="13" applyNumberFormat="1" applyFont="1" applyFill="1" applyBorder="1" applyAlignment="1"/>
    <xf numFmtId="166" fontId="0" fillId="2" borderId="36" xfId="0" applyNumberFormat="1" applyFill="1" applyBorder="1" applyAlignment="1"/>
    <xf numFmtId="166" fontId="4" fillId="2" borderId="55" xfId="11" applyNumberFormat="1" applyFont="1" applyFill="1" applyBorder="1" applyAlignment="1"/>
    <xf numFmtId="166" fontId="4" fillId="2" borderId="56" xfId="11" applyNumberFormat="1" applyFont="1" applyFill="1" applyBorder="1" applyAlignment="1"/>
    <xf numFmtId="166" fontId="4" fillId="0" borderId="15" xfId="11" applyNumberFormat="1" applyFont="1" applyBorder="1" applyAlignment="1"/>
    <xf numFmtId="166" fontId="4" fillId="0" borderId="36" xfId="11" applyNumberFormat="1" applyFont="1" applyBorder="1" applyAlignment="1"/>
    <xf numFmtId="0" fontId="3" fillId="0" borderId="124" xfId="11" applyFont="1" applyBorder="1" applyAlignment="1">
      <alignment horizontal="center"/>
    </xf>
    <xf numFmtId="0" fontId="3" fillId="0" borderId="125" xfId="0" applyFont="1" applyBorder="1" applyAlignment="1">
      <alignment horizontal="center"/>
    </xf>
    <xf numFmtId="0" fontId="3" fillId="0" borderId="126" xfId="0" applyFont="1" applyBorder="1" applyAlignment="1">
      <alignment horizontal="center"/>
    </xf>
    <xf numFmtId="0" fontId="4" fillId="0" borderId="123" xfId="0" applyFont="1" applyBorder="1" applyAlignment="1">
      <alignment horizontal="center"/>
    </xf>
    <xf numFmtId="166" fontId="4" fillId="2" borderId="23" xfId="11" applyNumberFormat="1" applyFont="1" applyFill="1" applyBorder="1" applyAlignment="1"/>
    <xf numFmtId="0" fontId="3" fillId="0" borderId="124" xfId="11" applyFont="1" applyFill="1" applyBorder="1" applyAlignment="1">
      <alignment horizontal="center"/>
    </xf>
    <xf numFmtId="3" fontId="3" fillId="0" borderId="125" xfId="11" applyNumberFormat="1" applyFont="1" applyBorder="1" applyAlignment="1">
      <alignment horizontal="center"/>
    </xf>
    <xf numFmtId="3" fontId="3" fillId="0" borderId="126" xfId="11" applyNumberFormat="1" applyFont="1" applyBorder="1" applyAlignment="1">
      <alignment horizontal="center"/>
    </xf>
    <xf numFmtId="0" fontId="3" fillId="0" borderId="123" xfId="11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23" xfId="11" quotePrefix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/>
    <xf numFmtId="170" fontId="4" fillId="0" borderId="60" xfId="11" applyNumberFormat="1" applyFont="1" applyFill="1" applyBorder="1" applyAlignment="1">
      <alignment horizontal="right"/>
    </xf>
    <xf numFmtId="170" fontId="4" fillId="0" borderId="62" xfId="11" applyNumberFormat="1" applyFont="1" applyFill="1" applyBorder="1" applyAlignment="1">
      <alignment horizontal="right"/>
    </xf>
    <xf numFmtId="1" fontId="4" fillId="0" borderId="60" xfId="11" applyNumberFormat="1" applyFont="1" applyFill="1" applyBorder="1" applyAlignment="1">
      <alignment horizontal="right"/>
    </xf>
    <xf numFmtId="1" fontId="4" fillId="0" borderId="62" xfId="11" applyNumberFormat="1" applyFont="1" applyFill="1" applyBorder="1" applyAlignment="1">
      <alignment horizontal="right"/>
    </xf>
    <xf numFmtId="170" fontId="4" fillId="0" borderId="96" xfId="11" applyNumberFormat="1" applyFont="1" applyFill="1" applyBorder="1" applyAlignment="1">
      <alignment horizontal="right"/>
    </xf>
    <xf numFmtId="170" fontId="4" fillId="0" borderId="85" xfId="11" applyNumberFormat="1" applyFont="1" applyFill="1" applyBorder="1" applyAlignment="1">
      <alignment horizontal="right"/>
    </xf>
    <xf numFmtId="166" fontId="4" fillId="2" borderId="58" xfId="13" applyNumberFormat="1" applyFont="1" applyFill="1" applyBorder="1" applyAlignment="1"/>
    <xf numFmtId="166" fontId="4" fillId="0" borderId="57" xfId="13" applyNumberFormat="1" applyFont="1" applyFill="1" applyBorder="1" applyAlignment="1"/>
    <xf numFmtId="166" fontId="0" fillId="0" borderId="58" xfId="0" applyNumberFormat="1" applyFill="1" applyBorder="1" applyAlignment="1"/>
    <xf numFmtId="166" fontId="4" fillId="2" borderId="36" xfId="13" applyNumberFormat="1" applyFont="1" applyFill="1" applyBorder="1" applyAlignment="1"/>
    <xf numFmtId="166" fontId="4" fillId="0" borderId="32" xfId="13" applyNumberFormat="1" applyFont="1" applyFill="1" applyBorder="1" applyAlignment="1"/>
    <xf numFmtId="166" fontId="0" fillId="0" borderId="36" xfId="0" applyNumberFormat="1" applyFill="1" applyBorder="1" applyAlignment="1"/>
    <xf numFmtId="0" fontId="3" fillId="0" borderId="129" xfId="0" applyFont="1" applyBorder="1" applyAlignment="1">
      <alignment horizontal="center"/>
    </xf>
    <xf numFmtId="0" fontId="3" fillId="0" borderId="130" xfId="0" applyFont="1" applyBorder="1" applyAlignment="1">
      <alignment horizontal="center"/>
    </xf>
    <xf numFmtId="0" fontId="3" fillId="0" borderId="104" xfId="0" applyFont="1" applyBorder="1" applyAlignment="1">
      <alignment horizontal="center"/>
    </xf>
    <xf numFmtId="0" fontId="3" fillId="0" borderId="105" xfId="0" applyFont="1" applyBorder="1" applyAlignment="1">
      <alignment horizontal="center"/>
    </xf>
    <xf numFmtId="0" fontId="3" fillId="0" borderId="127" xfId="0" applyFont="1" applyFill="1" applyBorder="1" applyAlignment="1">
      <alignment horizontal="center"/>
    </xf>
    <xf numFmtId="0" fontId="3" fillId="0" borderId="113" xfId="0" applyFont="1" applyFill="1" applyBorder="1" applyAlignment="1">
      <alignment horizontal="center"/>
    </xf>
    <xf numFmtId="166" fontId="4" fillId="0" borderId="55" xfId="11" applyNumberFormat="1" applyFont="1" applyFill="1" applyBorder="1" applyAlignment="1"/>
    <xf numFmtId="0" fontId="3" fillId="0" borderId="128" xfId="0" applyFont="1" applyFill="1" applyBorder="1" applyAlignment="1">
      <alignment horizontal="center"/>
    </xf>
    <xf numFmtId="0" fontId="0" fillId="0" borderId="123" xfId="0" applyFill="1" applyBorder="1" applyAlignment="1">
      <alignment horizontal="center"/>
    </xf>
    <xf numFmtId="166" fontId="4" fillId="0" borderId="107" xfId="11" applyNumberFormat="1" applyFont="1" applyFill="1" applyBorder="1" applyAlignment="1"/>
    <xf numFmtId="0" fontId="3" fillId="0" borderId="97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1" fontId="4" fillId="2" borderId="96" xfId="11" applyNumberFormat="1" applyFont="1" applyFill="1" applyBorder="1" applyAlignment="1">
      <alignment horizontal="right"/>
    </xf>
    <xf numFmtId="1" fontId="4" fillId="2" borderId="85" xfId="11" applyNumberFormat="1" applyFont="1" applyFill="1" applyBorder="1" applyAlignment="1">
      <alignment horizontal="right"/>
    </xf>
    <xf numFmtId="1" fontId="4" fillId="2" borderId="60" xfId="11" applyNumberFormat="1" applyFont="1" applyFill="1" applyBorder="1" applyAlignment="1">
      <alignment horizontal="right"/>
    </xf>
    <xf numFmtId="1" fontId="4" fillId="2" borderId="62" xfId="11" applyNumberFormat="1" applyFont="1" applyFill="1" applyBorder="1" applyAlignment="1">
      <alignment horizontal="right"/>
    </xf>
    <xf numFmtId="3" fontId="4" fillId="2" borderId="60" xfId="11" applyNumberFormat="1" applyFont="1" applyFill="1" applyBorder="1" applyAlignment="1">
      <alignment horizontal="right"/>
    </xf>
    <xf numFmtId="3" fontId="4" fillId="2" borderId="62" xfId="11" applyNumberFormat="1" applyFont="1" applyFill="1" applyBorder="1" applyAlignment="1">
      <alignment horizontal="right"/>
    </xf>
    <xf numFmtId="2" fontId="4" fillId="2" borderId="60" xfId="11" applyNumberFormat="1" applyFont="1" applyFill="1" applyBorder="1" applyAlignment="1">
      <alignment horizontal="right"/>
    </xf>
    <xf numFmtId="2" fontId="4" fillId="2" borderId="62" xfId="11" applyNumberFormat="1" applyFont="1" applyFill="1" applyBorder="1" applyAlignment="1">
      <alignment horizontal="right"/>
    </xf>
    <xf numFmtId="170" fontId="4" fillId="2" borderId="60" xfId="11" applyNumberFormat="1" applyFont="1" applyFill="1" applyBorder="1" applyAlignment="1">
      <alignment horizontal="right"/>
    </xf>
    <xf numFmtId="170" fontId="4" fillId="2" borderId="62" xfId="11" applyNumberFormat="1" applyFont="1" applyFill="1" applyBorder="1" applyAlignment="1">
      <alignment horizontal="right"/>
    </xf>
    <xf numFmtId="0" fontId="16" fillId="0" borderId="125" xfId="0" applyFont="1" applyBorder="1" applyAlignment="1">
      <alignment horizontal="center"/>
    </xf>
    <xf numFmtId="0" fontId="16" fillId="0" borderId="126" xfId="0" applyFont="1" applyBorder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3" fillId="0" borderId="88" xfId="0" applyFont="1" applyFill="1" applyBorder="1" applyAlignment="1">
      <alignment horizontal="center"/>
    </xf>
    <xf numFmtId="0" fontId="3" fillId="0" borderId="131" xfId="0" applyFont="1" applyFill="1" applyBorder="1" applyAlignment="1">
      <alignment horizontal="center"/>
    </xf>
    <xf numFmtId="3" fontId="16" fillId="0" borderId="125" xfId="11" applyNumberFormat="1" applyFont="1" applyBorder="1" applyAlignment="1">
      <alignment horizontal="center"/>
    </xf>
    <xf numFmtId="3" fontId="16" fillId="0" borderId="126" xfId="11" applyNumberFormat="1" applyFont="1" applyBorder="1" applyAlignment="1">
      <alignment horizontal="center"/>
    </xf>
    <xf numFmtId="0" fontId="7" fillId="0" borderId="129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0" fillId="0" borderId="122" xfId="0" applyBorder="1" applyAlignment="1">
      <alignment horizontal="center"/>
    </xf>
    <xf numFmtId="166" fontId="4" fillId="0" borderId="63" xfId="13" applyNumberFormat="1" applyFont="1" applyBorder="1" applyAlignment="1"/>
    <xf numFmtId="166" fontId="0" fillId="0" borderId="61" xfId="0" applyNumberFormat="1" applyBorder="1" applyAlignment="1"/>
    <xf numFmtId="166" fontId="4" fillId="0" borderId="60" xfId="13" applyNumberFormat="1" applyFont="1" applyBorder="1" applyAlignment="1"/>
    <xf numFmtId="166" fontId="0" fillId="0" borderId="62" xfId="0" applyNumberFormat="1" applyBorder="1" applyAlignment="1"/>
    <xf numFmtId="2" fontId="4" fillId="0" borderId="96" xfId="11" applyNumberFormat="1" applyFont="1" applyFill="1" applyBorder="1" applyAlignment="1">
      <alignment horizontal="right"/>
    </xf>
    <xf numFmtId="2" fontId="4" fillId="0" borderId="85" xfId="11" applyNumberFormat="1" applyFont="1" applyFill="1" applyBorder="1" applyAlignment="1">
      <alignment horizontal="right"/>
    </xf>
    <xf numFmtId="3" fontId="4" fillId="0" borderId="60" xfId="11" applyNumberFormat="1" applyFont="1" applyFill="1" applyBorder="1" applyAlignment="1">
      <alignment horizontal="right"/>
    </xf>
    <xf numFmtId="3" fontId="4" fillId="0" borderId="62" xfId="11" applyNumberFormat="1" applyFont="1" applyFill="1" applyBorder="1" applyAlignment="1">
      <alignment horizontal="right"/>
    </xf>
    <xf numFmtId="2" fontId="4" fillId="0" borderId="60" xfId="11" applyNumberFormat="1" applyFont="1" applyFill="1" applyBorder="1" applyAlignment="1">
      <alignment horizontal="right"/>
    </xf>
    <xf numFmtId="2" fontId="4" fillId="0" borderId="62" xfId="11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/>
    <xf numFmtId="166" fontId="4" fillId="0" borderId="48" xfId="13" applyNumberFormat="1" applyFont="1" applyFill="1" applyBorder="1" applyAlignment="1">
      <alignment horizontal="right"/>
    </xf>
    <xf numFmtId="166" fontId="4" fillId="0" borderId="58" xfId="13" applyNumberFormat="1" applyFont="1" applyFill="1" applyBorder="1" applyAlignment="1">
      <alignment horizontal="right"/>
    </xf>
    <xf numFmtId="166" fontId="4" fillId="0" borderId="15" xfId="13" applyNumberFormat="1" applyFont="1" applyFill="1" applyBorder="1" applyAlignment="1">
      <alignment horizontal="right"/>
    </xf>
    <xf numFmtId="166" fontId="4" fillId="0" borderId="36" xfId="13" applyNumberFormat="1" applyFont="1" applyFill="1" applyBorder="1" applyAlignment="1">
      <alignment horizontal="right"/>
    </xf>
    <xf numFmtId="166" fontId="4" fillId="0" borderId="48" xfId="13" applyNumberFormat="1" applyFont="1" applyBorder="1" applyAlignment="1">
      <alignment horizontal="right"/>
    </xf>
    <xf numFmtId="166" fontId="4" fillId="0" borderId="15" xfId="13" applyNumberFormat="1" applyFont="1" applyBorder="1" applyAlignment="1">
      <alignment horizontal="right"/>
    </xf>
    <xf numFmtId="0" fontId="3" fillId="0" borderId="124" xfId="11" quotePrefix="1" applyFont="1" applyFill="1" applyBorder="1" applyAlignment="1">
      <alignment horizontal="center"/>
    </xf>
    <xf numFmtId="0" fontId="3" fillId="0" borderId="123" xfId="11" quotePrefix="1" applyFont="1" applyFill="1" applyBorder="1" applyAlignment="1">
      <alignment horizontal="center"/>
    </xf>
    <xf numFmtId="1" fontId="4" fillId="0" borderId="96" xfId="11" applyNumberFormat="1" applyFont="1" applyFill="1" applyBorder="1" applyAlignment="1">
      <alignment horizontal="right"/>
    </xf>
    <xf numFmtId="1" fontId="4" fillId="0" borderId="85" xfId="11" applyNumberFormat="1" applyFont="1" applyFill="1" applyBorder="1" applyAlignment="1">
      <alignment horizontal="right"/>
    </xf>
    <xf numFmtId="3" fontId="3" fillId="0" borderId="122" xfId="1" applyNumberFormat="1" applyFont="1" applyFill="1" applyBorder="1" applyAlignment="1">
      <alignment horizontal="center"/>
    </xf>
    <xf numFmtId="3" fontId="3" fillId="0" borderId="123" xfId="1" applyNumberFormat="1" applyFont="1" applyFill="1" applyBorder="1" applyAlignment="1">
      <alignment horizontal="center"/>
    </xf>
    <xf numFmtId="0" fontId="0" fillId="0" borderId="123" xfId="0" applyFill="1" applyBorder="1" applyAlignment="1"/>
    <xf numFmtId="166" fontId="4" fillId="0" borderId="57" xfId="11" applyNumberFormat="1" applyFont="1" applyFill="1" applyBorder="1" applyAlignment="1"/>
    <xf numFmtId="166" fontId="4" fillId="0" borderId="58" xfId="11" applyNumberFormat="1" applyFont="1" applyFill="1" applyBorder="1" applyAlignment="1"/>
    <xf numFmtId="166" fontId="4" fillId="0" borderId="58" xfId="13" applyNumberFormat="1" applyFont="1" applyFill="1" applyBorder="1" applyAlignment="1"/>
    <xf numFmtId="166" fontId="4" fillId="0" borderId="32" xfId="11" applyNumberFormat="1" applyFont="1" applyFill="1" applyBorder="1" applyAlignment="1"/>
    <xf numFmtId="166" fontId="4" fillId="0" borderId="36" xfId="11" applyNumberFormat="1" applyFont="1" applyFill="1" applyBorder="1" applyAlignment="1"/>
    <xf numFmtId="166" fontId="4" fillId="0" borderId="36" xfId="13" applyNumberFormat="1" applyFont="1" applyFill="1" applyBorder="1" applyAlignment="1"/>
    <xf numFmtId="3" fontId="3" fillId="0" borderId="124" xfId="1" applyNumberFormat="1" applyFont="1" applyFill="1" applyBorder="1" applyAlignment="1">
      <alignment horizontal="center"/>
    </xf>
    <xf numFmtId="166" fontId="4" fillId="0" borderId="32" xfId="13" applyNumberFormat="1" applyFont="1" applyBorder="1" applyAlignment="1">
      <alignment horizontal="right"/>
    </xf>
    <xf numFmtId="166" fontId="4" fillId="0" borderId="36" xfId="13" applyNumberFormat="1" applyFont="1" applyBorder="1" applyAlignment="1">
      <alignment horizontal="right"/>
    </xf>
    <xf numFmtId="166" fontId="4" fillId="0" borderId="57" xfId="13" applyNumberFormat="1" applyFont="1" applyBorder="1" applyAlignment="1">
      <alignment horizontal="right"/>
    </xf>
    <xf numFmtId="166" fontId="4" fillId="0" borderId="58" xfId="13" applyNumberFormat="1" applyFont="1" applyBorder="1" applyAlignment="1">
      <alignment horizontal="right"/>
    </xf>
    <xf numFmtId="166" fontId="4" fillId="0" borderId="95" xfId="0" applyNumberFormat="1" applyFont="1" applyBorder="1" applyAlignment="1">
      <alignment horizontal="right"/>
    </xf>
    <xf numFmtId="166" fontId="4" fillId="0" borderId="107" xfId="0" applyNumberFormat="1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7" fillId="0" borderId="104" xfId="0" applyFont="1" applyBorder="1" applyAlignment="1">
      <alignment horizontal="center"/>
    </xf>
    <xf numFmtId="0" fontId="7" fillId="0" borderId="105" xfId="0" applyFont="1" applyBorder="1" applyAlignment="1">
      <alignment horizontal="center"/>
    </xf>
    <xf numFmtId="0" fontId="7" fillId="0" borderId="125" xfId="0" applyFont="1" applyBorder="1" applyAlignment="1">
      <alignment horizontal="center"/>
    </xf>
    <xf numFmtId="0" fontId="7" fillId="0" borderId="126" xfId="0" applyFont="1" applyBorder="1" applyAlignment="1">
      <alignment horizontal="center"/>
    </xf>
    <xf numFmtId="0" fontId="16" fillId="0" borderId="125" xfId="11" applyFont="1" applyFill="1" applyBorder="1" applyAlignment="1">
      <alignment horizontal="center"/>
    </xf>
    <xf numFmtId="0" fontId="16" fillId="0" borderId="126" xfId="11" applyFont="1" applyFill="1" applyBorder="1" applyAlignment="1">
      <alignment horizontal="center"/>
    </xf>
    <xf numFmtId="166" fontId="4" fillId="0" borderId="48" xfId="11" applyNumberFormat="1" applyFont="1" applyFill="1" applyBorder="1" applyAlignment="1"/>
    <xf numFmtId="166" fontId="4" fillId="0" borderId="15" xfId="11" applyNumberFormat="1" applyFont="1" applyFill="1" applyBorder="1" applyAlignment="1"/>
    <xf numFmtId="166" fontId="4" fillId="0" borderId="82" xfId="11" applyNumberFormat="1" applyFont="1" applyFill="1" applyBorder="1" applyAlignment="1"/>
    <xf numFmtId="166" fontId="4" fillId="0" borderId="85" xfId="11" applyNumberFormat="1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3" fontId="4" fillId="2" borderId="0" xfId="11" applyNumberFormat="1" applyFont="1" applyFill="1" applyBorder="1" applyAlignment="1">
      <alignment horizontal="right"/>
    </xf>
    <xf numFmtId="3" fontId="4" fillId="2" borderId="82" xfId="11" applyNumberFormat="1" applyFont="1" applyFill="1" applyBorder="1" applyAlignment="1">
      <alignment horizontal="right"/>
    </xf>
    <xf numFmtId="3" fontId="4" fillId="2" borderId="85" xfId="11" applyNumberFormat="1" applyFont="1" applyFill="1" applyBorder="1" applyAlignment="1">
      <alignment horizontal="right"/>
    </xf>
    <xf numFmtId="170" fontId="4" fillId="2" borderId="0" xfId="11" applyNumberFormat="1" applyFont="1" applyFill="1" applyBorder="1" applyAlignment="1">
      <alignment horizontal="right"/>
    </xf>
    <xf numFmtId="0" fontId="0" fillId="0" borderId="122" xfId="0" applyFill="1" applyBorder="1" applyAlignment="1">
      <alignment horizontal="center"/>
    </xf>
    <xf numFmtId="166" fontId="4" fillId="0" borderId="96" xfId="11" applyNumberFormat="1" applyFont="1" applyFill="1" applyBorder="1" applyAlignment="1"/>
    <xf numFmtId="166" fontId="4" fillId="0" borderId="100" xfId="0" applyNumberFormat="1" applyFont="1" applyBorder="1" applyAlignment="1">
      <alignment horizontal="right"/>
    </xf>
    <xf numFmtId="166" fontId="4" fillId="0" borderId="65" xfId="0" applyNumberFormat="1" applyFont="1" applyBorder="1" applyAlignment="1">
      <alignment horizontal="right"/>
    </xf>
    <xf numFmtId="166" fontId="4" fillId="0" borderId="45" xfId="0" applyNumberFormat="1" applyFont="1" applyBorder="1" applyAlignment="1">
      <alignment horizontal="right"/>
    </xf>
    <xf numFmtId="166" fontId="4" fillId="0" borderId="101" xfId="0" applyNumberFormat="1" applyFont="1" applyBorder="1" applyAlignment="1">
      <alignment horizontal="right"/>
    </xf>
    <xf numFmtId="0" fontId="3" fillId="2" borderId="122" xfId="11" applyFont="1" applyFill="1" applyBorder="1" applyAlignment="1">
      <alignment horizontal="center"/>
    </xf>
    <xf numFmtId="0" fontId="0" fillId="2" borderId="123" xfId="0" applyFill="1" applyBorder="1" applyAlignment="1">
      <alignment horizontal="center"/>
    </xf>
    <xf numFmtId="0" fontId="0" fillId="0" borderId="126" xfId="0" applyBorder="1" applyAlignment="1"/>
    <xf numFmtId="0" fontId="3" fillId="0" borderId="80" xfId="0" applyFont="1" applyBorder="1" applyAlignment="1">
      <alignment horizontal="center"/>
    </xf>
    <xf numFmtId="166" fontId="4" fillId="2" borderId="48" xfId="13" applyNumberFormat="1" applyFont="1" applyFill="1" applyBorder="1" applyAlignment="1">
      <alignment horizontal="right"/>
    </xf>
    <xf numFmtId="166" fontId="4" fillId="2" borderId="58" xfId="13" applyNumberFormat="1" applyFont="1" applyFill="1" applyBorder="1" applyAlignment="1">
      <alignment horizontal="right"/>
    </xf>
    <xf numFmtId="3" fontId="3" fillId="0" borderId="97" xfId="11" applyNumberFormat="1" applyFont="1" applyBorder="1" applyAlignment="1">
      <alignment horizontal="center"/>
    </xf>
    <xf numFmtId="3" fontId="3" fillId="0" borderId="98" xfId="11" applyNumberFormat="1" applyFont="1" applyBorder="1" applyAlignment="1">
      <alignment horizontal="center"/>
    </xf>
    <xf numFmtId="166" fontId="4" fillId="2" borderId="15" xfId="13" applyNumberFormat="1" applyFont="1" applyFill="1" applyBorder="1" applyAlignment="1">
      <alignment horizontal="right"/>
    </xf>
    <xf numFmtId="166" fontId="4" fillId="2" borderId="36" xfId="13" applyNumberFormat="1" applyFont="1" applyFill="1" applyBorder="1" applyAlignment="1">
      <alignment horizontal="right"/>
    </xf>
    <xf numFmtId="166" fontId="4" fillId="0" borderId="57" xfId="11" applyNumberFormat="1" applyFont="1" applyBorder="1" applyAlignment="1"/>
    <xf numFmtId="166" fontId="4" fillId="0" borderId="32" xfId="11" applyNumberFormat="1" applyFont="1" applyBorder="1" applyAlignment="1"/>
    <xf numFmtId="166" fontId="4" fillId="0" borderId="57" xfId="13" applyNumberFormat="1" applyFont="1" applyFill="1" applyBorder="1" applyAlignment="1">
      <alignment horizontal="right"/>
    </xf>
    <xf numFmtId="166" fontId="4" fillId="0" borderId="32" xfId="13" applyNumberFormat="1" applyFont="1" applyFill="1" applyBorder="1" applyAlignment="1">
      <alignment horizontal="right"/>
    </xf>
  </cellXfs>
  <cellStyles count="16">
    <cellStyle name="Comma" xfId="1" builtinId="3"/>
    <cellStyle name="Comma0" xfId="2"/>
    <cellStyle name="Currency" xfId="3" builtinId="4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HEADING1" xfId="9"/>
    <cellStyle name="HEADING2" xfId="10"/>
    <cellStyle name="Normal" xfId="0" builtinId="0"/>
    <cellStyle name="Normal_Accounting" xfId="11"/>
    <cellStyle name="Percent" xfId="12" builtinId="5"/>
    <cellStyle name="Percent_Accounting" xfId="13"/>
    <cellStyle name="Percent_Sheet1" xfId="14"/>
    <cellStyle name="Total" xfId="15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8"/>
  <sheetViews>
    <sheetView view="pageBreakPreview" zoomScaleNormal="100" zoomScaleSheetLayoutView="100" workbookViewId="0">
      <pane xSplit="6" topLeftCell="M1" activePane="topRight" state="frozen"/>
      <selection activeCell="AD88" sqref="AD88"/>
      <selection pane="topRight" activeCell="AD88" sqref="AD88"/>
    </sheetView>
  </sheetViews>
  <sheetFormatPr defaultColWidth="10.28515625" defaultRowHeight="12.75" x14ac:dyDescent="0.2"/>
  <cols>
    <col min="1" max="1" width="3.7109375" style="1" customWidth="1"/>
    <col min="2" max="2" width="39.5703125" style="1" customWidth="1"/>
    <col min="3" max="3" width="7.7109375" hidden="1" customWidth="1"/>
    <col min="4" max="4" width="10.42578125" hidden="1" customWidth="1"/>
    <col min="5" max="5" width="7.7109375" hidden="1" customWidth="1"/>
    <col min="6" max="6" width="10.42578125" hidden="1" customWidth="1"/>
    <col min="7" max="7" width="7.7109375" style="204" hidden="1" customWidth="1"/>
    <col min="8" max="8" width="10.85546875" style="204" hidden="1" customWidth="1"/>
    <col min="9" max="9" width="7.7109375" style="204" hidden="1" customWidth="1"/>
    <col min="10" max="10" width="11.28515625" style="204" hidden="1" customWidth="1"/>
    <col min="11" max="11" width="7.7109375" style="1" hidden="1" customWidth="1"/>
    <col min="12" max="12" width="11.140625" style="1" hidden="1" customWidth="1"/>
    <col min="13" max="13" width="7.7109375" style="1" hidden="1" customWidth="1"/>
    <col min="14" max="14" width="11" style="1" hidden="1" customWidth="1"/>
    <col min="15" max="15" width="7.7109375" style="1" customWidth="1"/>
    <col min="16" max="16" width="11" style="1" customWidth="1"/>
    <col min="17" max="17" width="7.7109375" style="1" customWidth="1"/>
    <col min="18" max="18" width="11" style="1" customWidth="1"/>
    <col min="19" max="19" width="7.7109375" style="1" customWidth="1"/>
    <col min="20" max="20" width="11" style="1" customWidth="1"/>
    <col min="21" max="21" width="7.7109375" style="1" customWidth="1"/>
    <col min="22" max="22" width="11" style="1" customWidth="1"/>
    <col min="23" max="23" width="7.7109375" style="1" customWidth="1"/>
    <col min="24" max="24" width="11" style="1" customWidth="1"/>
    <col min="25" max="25" width="7.7109375" style="1" customWidth="1"/>
    <col min="26" max="26" width="11" style="1" customWidth="1"/>
    <col min="27" max="27" width="4.5703125" style="1" customWidth="1"/>
    <col min="28" max="29" width="10.28515625" style="1" customWidth="1"/>
    <col min="30" max="30" width="2.5703125" style="1" customWidth="1"/>
    <col min="31" max="16384" width="10.28515625" style="1"/>
  </cols>
  <sheetData>
    <row r="1" spans="1:29" ht="18" x14ac:dyDescent="0.25">
      <c r="A1" s="694" t="s">
        <v>203</v>
      </c>
      <c r="B1" s="694"/>
      <c r="C1" s="694"/>
      <c r="D1" s="694"/>
      <c r="E1" s="694"/>
      <c r="F1" s="694"/>
      <c r="G1" s="694"/>
      <c r="H1" s="694"/>
      <c r="I1" s="695"/>
      <c r="J1" s="695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</row>
    <row r="2" spans="1:29" ht="12" x14ac:dyDescent="0.2">
      <c r="C2" s="1"/>
      <c r="D2" s="1"/>
      <c r="E2" s="1"/>
      <c r="F2" s="1"/>
      <c r="G2" s="203"/>
      <c r="H2" s="203"/>
      <c r="I2" s="203"/>
      <c r="J2" s="203"/>
    </row>
    <row r="3" spans="1:29" x14ac:dyDescent="0.2">
      <c r="A3" s="3" t="s">
        <v>25</v>
      </c>
      <c r="C3" s="1"/>
      <c r="D3" s="1"/>
      <c r="E3" s="1"/>
      <c r="F3" s="1"/>
      <c r="G3" s="203"/>
      <c r="H3" s="203"/>
      <c r="I3" s="203"/>
      <c r="J3" s="203"/>
    </row>
    <row r="4" spans="1:29" ht="12" x14ac:dyDescent="0.2">
      <c r="C4" s="1"/>
      <c r="D4" s="1"/>
      <c r="E4" s="1"/>
      <c r="F4" s="1"/>
      <c r="G4" s="203"/>
      <c r="H4" s="203"/>
      <c r="I4" s="203"/>
      <c r="J4" s="203"/>
    </row>
    <row r="5" spans="1:29" x14ac:dyDescent="0.2">
      <c r="A5" s="3" t="s">
        <v>54</v>
      </c>
      <c r="C5" s="1"/>
      <c r="D5" s="1"/>
      <c r="E5" s="1"/>
      <c r="F5" s="1"/>
      <c r="G5" s="203"/>
      <c r="H5" s="203"/>
      <c r="I5" s="203"/>
      <c r="J5" s="203"/>
    </row>
    <row r="6" spans="1:29" thickBot="1" x14ac:dyDescent="0.25">
      <c r="A6" s="2"/>
      <c r="B6" s="1" t="s">
        <v>20</v>
      </c>
      <c r="C6" s="1"/>
      <c r="D6" s="1"/>
      <c r="E6" s="1"/>
      <c r="F6" s="1"/>
      <c r="G6" s="203"/>
      <c r="H6" s="203"/>
      <c r="I6" s="203"/>
      <c r="J6" s="203"/>
    </row>
    <row r="7" spans="1:29" ht="13.5" customHeight="1" thickTop="1" thickBot="1" x14ac:dyDescent="0.25">
      <c r="B7" s="42"/>
      <c r="C7" s="333" t="s">
        <v>28</v>
      </c>
      <c r="D7" s="332"/>
      <c r="E7" s="333" t="s">
        <v>29</v>
      </c>
      <c r="F7" s="334"/>
      <c r="G7" s="335" t="s">
        <v>89</v>
      </c>
      <c r="H7" s="352"/>
      <c r="I7" s="1220" t="s">
        <v>99</v>
      </c>
      <c r="J7" s="1220"/>
      <c r="K7" s="1231" t="s">
        <v>101</v>
      </c>
      <c r="L7" s="1220"/>
      <c r="M7" s="1231" t="s">
        <v>106</v>
      </c>
      <c r="N7" s="1221"/>
      <c r="O7" s="1220" t="s">
        <v>155</v>
      </c>
      <c r="P7" s="1221"/>
      <c r="Q7" s="1220" t="s">
        <v>160</v>
      </c>
      <c r="R7" s="1221"/>
      <c r="S7" s="1220" t="s">
        <v>179</v>
      </c>
      <c r="T7" s="1221"/>
      <c r="U7" s="1220" t="s">
        <v>189</v>
      </c>
      <c r="V7" s="1221"/>
      <c r="W7" s="1220" t="s">
        <v>194</v>
      </c>
      <c r="X7" s="1221"/>
      <c r="Y7" s="1220" t="s">
        <v>198</v>
      </c>
      <c r="Z7" s="1221"/>
      <c r="AB7" s="1250" t="s">
        <v>142</v>
      </c>
      <c r="AC7" s="1251"/>
    </row>
    <row r="8" spans="1:29" ht="12" x14ac:dyDescent="0.2">
      <c r="B8" s="43"/>
      <c r="C8" s="113" t="s">
        <v>0</v>
      </c>
      <c r="D8" s="189" t="s">
        <v>1</v>
      </c>
      <c r="E8" s="113" t="s">
        <v>0</v>
      </c>
      <c r="F8" s="167" t="s">
        <v>1</v>
      </c>
      <c r="G8" s="928" t="s">
        <v>0</v>
      </c>
      <c r="H8" s="929" t="s">
        <v>1</v>
      </c>
      <c r="I8" s="930" t="s">
        <v>0</v>
      </c>
      <c r="J8" s="931" t="s">
        <v>1</v>
      </c>
      <c r="K8" s="928" t="s">
        <v>0</v>
      </c>
      <c r="L8" s="931" t="s">
        <v>1</v>
      </c>
      <c r="M8" s="928" t="s">
        <v>0</v>
      </c>
      <c r="N8" s="929" t="s">
        <v>1</v>
      </c>
      <c r="O8" s="930" t="s">
        <v>0</v>
      </c>
      <c r="P8" s="929" t="s">
        <v>1</v>
      </c>
      <c r="Q8" s="930" t="s">
        <v>0</v>
      </c>
      <c r="R8" s="929" t="s">
        <v>1</v>
      </c>
      <c r="S8" s="930" t="s">
        <v>0</v>
      </c>
      <c r="T8" s="929" t="s">
        <v>1</v>
      </c>
      <c r="U8" s="930" t="s">
        <v>0</v>
      </c>
      <c r="V8" s="929" t="s">
        <v>1</v>
      </c>
      <c r="W8" s="930" t="s">
        <v>0</v>
      </c>
      <c r="X8" s="929" t="s">
        <v>1</v>
      </c>
      <c r="Y8" s="930" t="s">
        <v>0</v>
      </c>
      <c r="Z8" s="929" t="s">
        <v>1</v>
      </c>
      <c r="AB8" s="588" t="s">
        <v>143</v>
      </c>
      <c r="AC8" s="589" t="s">
        <v>144</v>
      </c>
    </row>
    <row r="9" spans="1:29" thickBot="1" x14ac:dyDescent="0.25">
      <c r="B9" s="44"/>
      <c r="C9" s="75" t="s">
        <v>2</v>
      </c>
      <c r="D9" s="76" t="s">
        <v>3</v>
      </c>
      <c r="E9" s="75" t="s">
        <v>2</v>
      </c>
      <c r="F9" s="249" t="s">
        <v>3</v>
      </c>
      <c r="G9" s="924" t="s">
        <v>2</v>
      </c>
      <c r="H9" s="925" t="s">
        <v>3</v>
      </c>
      <c r="I9" s="926" t="s">
        <v>2</v>
      </c>
      <c r="J9" s="927" t="s">
        <v>3</v>
      </c>
      <c r="K9" s="924" t="s">
        <v>2</v>
      </c>
      <c r="L9" s="927" t="s">
        <v>3</v>
      </c>
      <c r="M9" s="924" t="s">
        <v>2</v>
      </c>
      <c r="N9" s="925" t="s">
        <v>3</v>
      </c>
      <c r="O9" s="926" t="s">
        <v>2</v>
      </c>
      <c r="P9" s="925" t="s">
        <v>3</v>
      </c>
      <c r="Q9" s="926" t="s">
        <v>2</v>
      </c>
      <c r="R9" s="925" t="s">
        <v>3</v>
      </c>
      <c r="S9" s="926" t="s">
        <v>2</v>
      </c>
      <c r="T9" s="925" t="s">
        <v>3</v>
      </c>
      <c r="U9" s="926" t="s">
        <v>2</v>
      </c>
      <c r="V9" s="925" t="s">
        <v>3</v>
      </c>
      <c r="W9" s="926" t="s">
        <v>2</v>
      </c>
      <c r="X9" s="925" t="s">
        <v>3</v>
      </c>
      <c r="Y9" s="926" t="s">
        <v>2</v>
      </c>
      <c r="Z9" s="925" t="s">
        <v>3</v>
      </c>
      <c r="AB9" s="590" t="s">
        <v>2</v>
      </c>
      <c r="AC9" s="591" t="s">
        <v>3</v>
      </c>
    </row>
    <row r="10" spans="1:29" ht="12" x14ac:dyDescent="0.2">
      <c r="B10" s="45" t="s">
        <v>4</v>
      </c>
      <c r="C10" s="77"/>
      <c r="D10" s="78"/>
      <c r="E10" s="77"/>
      <c r="F10" s="97"/>
      <c r="G10" s="255"/>
      <c r="H10" s="122"/>
      <c r="I10" s="121"/>
      <c r="J10" s="250"/>
      <c r="K10" s="255"/>
      <c r="L10" s="250"/>
      <c r="M10" s="255"/>
      <c r="N10" s="122"/>
      <c r="O10" s="121"/>
      <c r="P10" s="122"/>
      <c r="Q10" s="121"/>
      <c r="R10" s="122"/>
      <c r="S10" s="121"/>
      <c r="T10" s="122"/>
      <c r="U10" s="121"/>
      <c r="V10" s="122"/>
      <c r="W10" s="121"/>
      <c r="X10" s="122"/>
      <c r="Y10" s="121"/>
      <c r="Z10" s="122"/>
      <c r="AB10" s="595"/>
      <c r="AC10" s="596"/>
    </row>
    <row r="11" spans="1:29" ht="12" x14ac:dyDescent="0.2">
      <c r="B11" s="46" t="s">
        <v>151</v>
      </c>
      <c r="C11" s="14"/>
      <c r="D11" s="26"/>
      <c r="E11" s="14"/>
      <c r="F11" s="15"/>
      <c r="G11" s="118"/>
      <c r="H11" s="119"/>
      <c r="I11" s="120"/>
      <c r="J11" s="374"/>
      <c r="K11" s="118"/>
      <c r="L11" s="374"/>
      <c r="M11" s="118"/>
      <c r="N11" s="119"/>
      <c r="O11" s="120"/>
      <c r="P11" s="119"/>
      <c r="Q11" s="120"/>
      <c r="R11" s="119"/>
      <c r="S11" s="120"/>
      <c r="T11" s="119"/>
      <c r="U11" s="120"/>
      <c r="V11" s="119"/>
      <c r="W11" s="120"/>
      <c r="X11" s="119"/>
      <c r="Y11" s="120"/>
      <c r="Z11" s="119"/>
      <c r="AB11" s="597"/>
      <c r="AC11" s="598"/>
    </row>
    <row r="12" spans="1:29" ht="12" x14ac:dyDescent="0.2">
      <c r="B12" s="47" t="s">
        <v>23</v>
      </c>
      <c r="C12" s="14">
        <v>626</v>
      </c>
      <c r="D12" s="29" t="s">
        <v>21</v>
      </c>
      <c r="E12" s="14">
        <f>533+8</f>
        <v>541</v>
      </c>
      <c r="F12" s="29" t="s">
        <v>21</v>
      </c>
      <c r="G12" s="27">
        <v>525</v>
      </c>
      <c r="H12" s="29" t="s">
        <v>21</v>
      </c>
      <c r="I12" s="323">
        <v>547</v>
      </c>
      <c r="J12" s="9" t="s">
        <v>21</v>
      </c>
      <c r="K12" s="130">
        <v>509</v>
      </c>
      <c r="L12" s="9" t="s">
        <v>21</v>
      </c>
      <c r="M12" s="130">
        <f>462+6</f>
        <v>468</v>
      </c>
      <c r="N12" s="29" t="s">
        <v>21</v>
      </c>
      <c r="O12" s="323">
        <v>488</v>
      </c>
      <c r="P12" s="725" t="s">
        <v>21</v>
      </c>
      <c r="Q12" s="323">
        <v>466</v>
      </c>
      <c r="R12" s="725" t="s">
        <v>21</v>
      </c>
      <c r="S12" s="323">
        <v>384</v>
      </c>
      <c r="T12" s="725" t="s">
        <v>21</v>
      </c>
      <c r="U12" s="323">
        <v>394</v>
      </c>
      <c r="V12" s="725" t="s">
        <v>21</v>
      </c>
      <c r="W12" s="323">
        <f>411+1</f>
        <v>412</v>
      </c>
      <c r="X12" s="725" t="s">
        <v>21</v>
      </c>
      <c r="Y12" s="323">
        <f>438+2</f>
        <v>440</v>
      </c>
      <c r="Z12" s="1163"/>
      <c r="AB12" s="597">
        <f>AVERAGE(W12,U12,S12,Q12,Y12)</f>
        <v>419.2</v>
      </c>
      <c r="AC12" s="1173"/>
    </row>
    <row r="13" spans="1:29" ht="12" x14ac:dyDescent="0.2">
      <c r="B13" s="46" t="s">
        <v>152</v>
      </c>
      <c r="C13" s="14"/>
      <c r="D13" s="28"/>
      <c r="E13" s="14"/>
      <c r="F13" s="28"/>
      <c r="G13" s="27"/>
      <c r="H13" s="119"/>
      <c r="I13" s="323"/>
      <c r="J13" s="374"/>
      <c r="K13" s="130"/>
      <c r="L13" s="374"/>
      <c r="M13" s="130"/>
      <c r="N13" s="119"/>
      <c r="O13" s="323"/>
      <c r="P13" s="119"/>
      <c r="Q13" s="323"/>
      <c r="R13" s="119"/>
      <c r="S13" s="323"/>
      <c r="T13" s="119"/>
      <c r="U13" s="323"/>
      <c r="V13" s="119"/>
      <c r="W13" s="323"/>
      <c r="X13" s="119"/>
      <c r="Y13" s="323"/>
      <c r="Z13" s="1157"/>
      <c r="AB13" s="597"/>
      <c r="AC13" s="1173"/>
    </row>
    <row r="14" spans="1:29" ht="12" x14ac:dyDescent="0.2">
      <c r="B14" s="47" t="s">
        <v>23</v>
      </c>
      <c r="C14" s="14">
        <v>510</v>
      </c>
      <c r="D14" s="29" t="s">
        <v>21</v>
      </c>
      <c r="E14" s="14">
        <f>453+25</f>
        <v>478</v>
      </c>
      <c r="F14" s="29" t="s">
        <v>21</v>
      </c>
      <c r="G14" s="27">
        <v>470</v>
      </c>
      <c r="H14" s="29" t="s">
        <v>21</v>
      </c>
      <c r="I14" s="323">
        <v>495</v>
      </c>
      <c r="J14" s="9" t="s">
        <v>21</v>
      </c>
      <c r="K14" s="130">
        <v>468</v>
      </c>
      <c r="L14" s="9" t="s">
        <v>21</v>
      </c>
      <c r="M14" s="130">
        <f>412+36</f>
        <v>448</v>
      </c>
      <c r="N14" s="29" t="s">
        <v>21</v>
      </c>
      <c r="O14" s="323">
        <v>475</v>
      </c>
      <c r="P14" s="725" t="s">
        <v>21</v>
      </c>
      <c r="Q14" s="323">
        <v>476</v>
      </c>
      <c r="R14" s="725" t="s">
        <v>21</v>
      </c>
      <c r="S14" s="323">
        <v>396</v>
      </c>
      <c r="T14" s="725" t="s">
        <v>21</v>
      </c>
      <c r="U14" s="323">
        <v>339</v>
      </c>
      <c r="V14" s="725" t="s">
        <v>21</v>
      </c>
      <c r="W14" s="323">
        <f>362+1</f>
        <v>363</v>
      </c>
      <c r="X14" s="725" t="s">
        <v>21</v>
      </c>
      <c r="Y14" s="323">
        <f>355+6</f>
        <v>361</v>
      </c>
      <c r="Z14" s="1163"/>
      <c r="AB14" s="597">
        <f>AVERAGE(W14,U14,S14,Q14,Y14)</f>
        <v>387</v>
      </c>
      <c r="AC14" s="1173"/>
    </row>
    <row r="15" spans="1:29" ht="12" x14ac:dyDescent="0.2">
      <c r="B15" s="326" t="s">
        <v>153</v>
      </c>
      <c r="C15" s="14"/>
      <c r="D15" s="28"/>
      <c r="E15" s="14"/>
      <c r="F15" s="28"/>
      <c r="G15" s="27"/>
      <c r="H15" s="119"/>
      <c r="I15" s="323"/>
      <c r="J15" s="374"/>
      <c r="K15" s="130"/>
      <c r="L15" s="374"/>
      <c r="M15" s="130"/>
      <c r="N15" s="119"/>
      <c r="O15" s="323"/>
      <c r="P15" s="119"/>
      <c r="Q15" s="323"/>
      <c r="R15" s="119"/>
      <c r="S15" s="323"/>
      <c r="T15" s="119"/>
      <c r="U15" s="323"/>
      <c r="V15" s="119"/>
      <c r="W15" s="323"/>
      <c r="X15" s="119"/>
      <c r="Y15" s="323"/>
      <c r="Z15" s="1157"/>
      <c r="AB15" s="597"/>
      <c r="AC15" s="1173"/>
    </row>
    <row r="16" spans="1:29" ht="12" x14ac:dyDescent="0.2">
      <c r="B16" s="47" t="s">
        <v>23</v>
      </c>
      <c r="C16" s="14">
        <v>8</v>
      </c>
      <c r="D16" s="29" t="s">
        <v>21</v>
      </c>
      <c r="E16" s="14">
        <v>15</v>
      </c>
      <c r="F16" s="29" t="s">
        <v>21</v>
      </c>
      <c r="G16" s="27">
        <v>31</v>
      </c>
      <c r="H16" s="29" t="s">
        <v>21</v>
      </c>
      <c r="I16" s="323">
        <v>26</v>
      </c>
      <c r="J16" s="9" t="s">
        <v>21</v>
      </c>
      <c r="K16" s="130">
        <v>23</v>
      </c>
      <c r="L16" s="9" t="s">
        <v>21</v>
      </c>
      <c r="M16" s="130">
        <f>3+1+10</f>
        <v>14</v>
      </c>
      <c r="N16" s="29" t="s">
        <v>21</v>
      </c>
      <c r="O16" s="323">
        <v>14</v>
      </c>
      <c r="P16" s="725" t="s">
        <v>21</v>
      </c>
      <c r="Q16" s="323">
        <v>8</v>
      </c>
      <c r="R16" s="725" t="s">
        <v>21</v>
      </c>
      <c r="S16" s="323">
        <v>2</v>
      </c>
      <c r="T16" s="725" t="s">
        <v>21</v>
      </c>
      <c r="U16" s="323">
        <v>6</v>
      </c>
      <c r="V16" s="725" t="s">
        <v>21</v>
      </c>
      <c r="W16" s="323">
        <v>0</v>
      </c>
      <c r="X16" s="725" t="s">
        <v>21</v>
      </c>
      <c r="Y16" s="323">
        <v>8</v>
      </c>
      <c r="Z16" s="1163"/>
      <c r="AB16" s="597">
        <f>AVERAGE(W16,U16,S16,Q16,Y16)</f>
        <v>4.8</v>
      </c>
      <c r="AC16" s="1173"/>
    </row>
    <row r="17" spans="1:32" ht="12" x14ac:dyDescent="0.2">
      <c r="B17" s="70" t="s">
        <v>24</v>
      </c>
      <c r="C17" s="101">
        <v>122</v>
      </c>
      <c r="D17" s="99" t="s">
        <v>21</v>
      </c>
      <c r="E17" s="101">
        <v>83</v>
      </c>
      <c r="F17" s="99" t="s">
        <v>21</v>
      </c>
      <c r="G17" s="130">
        <v>80</v>
      </c>
      <c r="H17" s="99" t="s">
        <v>21</v>
      </c>
      <c r="I17" s="323">
        <v>61</v>
      </c>
      <c r="J17" s="100" t="s">
        <v>21</v>
      </c>
      <c r="K17" s="130">
        <v>64</v>
      </c>
      <c r="L17" s="100" t="s">
        <v>21</v>
      </c>
      <c r="M17" s="130">
        <v>63</v>
      </c>
      <c r="N17" s="99" t="s">
        <v>21</v>
      </c>
      <c r="O17" s="504"/>
      <c r="P17" s="503"/>
      <c r="Q17" s="504"/>
      <c r="R17" s="503"/>
      <c r="S17" s="504"/>
      <c r="T17" s="503"/>
      <c r="U17" s="504"/>
      <c r="V17" s="1164"/>
      <c r="W17" s="504"/>
      <c r="X17" s="1164"/>
      <c r="Y17" s="504"/>
      <c r="Z17" s="1164"/>
      <c r="AB17" s="597"/>
      <c r="AC17" s="1173"/>
    </row>
    <row r="18" spans="1:32" thickBot="1" x14ac:dyDescent="0.25">
      <c r="B18" s="70" t="s">
        <v>107</v>
      </c>
      <c r="C18" s="502"/>
      <c r="D18" s="503"/>
      <c r="E18" s="502"/>
      <c r="F18" s="493"/>
      <c r="G18" s="433"/>
      <c r="H18" s="503"/>
      <c r="I18" s="504"/>
      <c r="J18" s="493"/>
      <c r="K18" s="433"/>
      <c r="L18" s="493"/>
      <c r="M18" s="130">
        <v>176</v>
      </c>
      <c r="N18" s="99" t="s">
        <v>21</v>
      </c>
      <c r="O18" s="323">
        <v>805</v>
      </c>
      <c r="P18" s="125" t="s">
        <v>21</v>
      </c>
      <c r="Q18" s="323">
        <v>410</v>
      </c>
      <c r="R18" s="125" t="s">
        <v>21</v>
      </c>
      <c r="S18" s="323">
        <f>339+37</f>
        <v>376</v>
      </c>
      <c r="T18" s="125" t="s">
        <v>21</v>
      </c>
      <c r="U18" s="323">
        <v>219</v>
      </c>
      <c r="V18" s="125" t="s">
        <v>21</v>
      </c>
      <c r="W18" s="323">
        <v>180</v>
      </c>
      <c r="X18" s="725" t="s">
        <v>21</v>
      </c>
      <c r="Y18" s="323">
        <v>131</v>
      </c>
      <c r="Z18" s="1164"/>
      <c r="AB18" s="597">
        <f>AVERAGE(W18,U18,S18,Q18,Y18)</f>
        <v>263.2</v>
      </c>
      <c r="AC18" s="1173"/>
    </row>
    <row r="19" spans="1:32" hidden="1" thickBot="1" x14ac:dyDescent="0.25">
      <c r="B19" s="123" t="s">
        <v>164</v>
      </c>
      <c r="C19" s="101"/>
      <c r="D19" s="73"/>
      <c r="E19" s="101"/>
      <c r="F19" s="100"/>
      <c r="G19" s="27"/>
      <c r="H19" s="125"/>
      <c r="I19" s="323"/>
      <c r="J19" s="251"/>
      <c r="K19" s="130"/>
      <c r="L19" s="251"/>
      <c r="M19" s="130"/>
      <c r="N19" s="125"/>
      <c r="O19" s="323"/>
      <c r="P19" s="125"/>
      <c r="Q19" s="323"/>
      <c r="R19" s="125"/>
      <c r="S19" s="323"/>
      <c r="T19" s="125"/>
      <c r="U19" s="323"/>
      <c r="V19" s="125"/>
      <c r="W19" s="323"/>
      <c r="X19" s="125"/>
      <c r="Y19" s="323"/>
      <c r="Z19" s="125"/>
      <c r="AB19" s="597"/>
      <c r="AC19" s="598"/>
    </row>
    <row r="20" spans="1:32" hidden="1" thickBot="1" x14ac:dyDescent="0.25">
      <c r="B20" s="48" t="s">
        <v>57</v>
      </c>
      <c r="C20" s="920"/>
      <c r="D20" s="921"/>
      <c r="E20" s="79">
        <v>68</v>
      </c>
      <c r="F20" s="41">
        <v>28</v>
      </c>
      <c r="G20" s="693">
        <v>37</v>
      </c>
      <c r="H20" s="134">
        <v>1</v>
      </c>
      <c r="I20" s="440">
        <v>56</v>
      </c>
      <c r="J20" s="391">
        <v>4</v>
      </c>
      <c r="K20" s="922"/>
      <c r="L20" s="370"/>
      <c r="M20" s="922"/>
      <c r="N20" s="859"/>
      <c r="O20" s="923"/>
      <c r="P20" s="859"/>
      <c r="Q20" s="923"/>
      <c r="R20" s="859"/>
      <c r="S20" s="923"/>
      <c r="T20" s="859"/>
      <c r="U20" s="923"/>
      <c r="V20" s="859"/>
      <c r="W20" s="923"/>
      <c r="X20" s="859"/>
      <c r="Y20" s="923"/>
      <c r="Z20" s="859"/>
      <c r="AB20" s="576">
        <f>AVERAGE(M20,K20,I20,Q20,O20)</f>
        <v>56</v>
      </c>
      <c r="AC20" s="838">
        <f>AVERAGE(L20,J20,H20,P20,N20)</f>
        <v>2.5</v>
      </c>
    </row>
    <row r="21" spans="1:32" thickTop="1" x14ac:dyDescent="0.2">
      <c r="B21" s="1028" t="s">
        <v>108</v>
      </c>
      <c r="C21" s="1029"/>
      <c r="D21" s="1029"/>
      <c r="E21" s="1029"/>
      <c r="F21" s="1030"/>
      <c r="G21" s="496"/>
      <c r="H21" s="967"/>
      <c r="I21" s="496"/>
      <c r="J21" s="967"/>
      <c r="K21" s="496"/>
      <c r="L21" s="967"/>
      <c r="M21" s="496"/>
      <c r="N21" s="967"/>
      <c r="O21" s="496"/>
      <c r="P21" s="967"/>
      <c r="Q21" s="496"/>
      <c r="R21" s="967"/>
      <c r="S21" s="496"/>
      <c r="T21" s="967"/>
      <c r="U21" s="496"/>
      <c r="V21" s="967"/>
      <c r="W21" s="496"/>
      <c r="X21" s="967"/>
      <c r="Y21" s="496"/>
      <c r="Z21" s="967"/>
      <c r="AB21" s="627"/>
      <c r="AC21" s="627"/>
    </row>
    <row r="22" spans="1:32" ht="12" x14ac:dyDescent="0.2">
      <c r="B22" s="1" t="s">
        <v>140</v>
      </c>
      <c r="C22" s="37"/>
      <c r="D22" s="38"/>
      <c r="E22" s="37"/>
      <c r="F22" s="38" t="s">
        <v>20</v>
      </c>
      <c r="G22" s="138"/>
      <c r="H22" s="137"/>
      <c r="I22" s="138"/>
      <c r="J22" s="137"/>
      <c r="K22" s="138"/>
      <c r="L22" s="137"/>
      <c r="M22" s="138"/>
      <c r="N22" s="137"/>
      <c r="O22" s="138"/>
      <c r="P22" s="137"/>
      <c r="Q22" s="138"/>
      <c r="R22" s="137"/>
      <c r="S22" s="138"/>
      <c r="T22" s="137"/>
      <c r="U22" s="138"/>
      <c r="V22" s="137"/>
      <c r="W22" s="138"/>
      <c r="X22" s="137"/>
      <c r="Y22" s="138"/>
      <c r="Z22" s="137"/>
    </row>
    <row r="23" spans="1:32" thickBot="1" x14ac:dyDescent="0.25">
      <c r="C23" s="37"/>
      <c r="D23" s="38"/>
      <c r="E23" s="37"/>
      <c r="F23" s="38"/>
      <c r="G23" s="138"/>
      <c r="H23" s="137"/>
      <c r="I23" s="138"/>
      <c r="J23" s="137"/>
      <c r="K23" s="138"/>
      <c r="L23" s="137"/>
      <c r="M23" s="138"/>
      <c r="N23" s="137"/>
      <c r="O23" s="138"/>
      <c r="P23" s="137"/>
      <c r="Q23" s="138"/>
      <c r="R23" s="137"/>
      <c r="S23" s="138"/>
      <c r="T23" s="137"/>
      <c r="U23" s="138"/>
      <c r="V23" s="137"/>
      <c r="W23" s="138"/>
      <c r="X23" s="137"/>
      <c r="Y23" s="138"/>
      <c r="Z23" s="137"/>
    </row>
    <row r="24" spans="1:32" ht="14.25" customHeight="1" thickTop="1" thickBot="1" x14ac:dyDescent="0.25">
      <c r="B24" s="270"/>
      <c r="C24" s="1225" t="s">
        <v>28</v>
      </c>
      <c r="D24" s="1226"/>
      <c r="E24" s="1227" t="s">
        <v>29</v>
      </c>
      <c r="F24" s="1226"/>
      <c r="G24" s="1220" t="s">
        <v>89</v>
      </c>
      <c r="H24" s="1220"/>
      <c r="I24" s="1231" t="s">
        <v>99</v>
      </c>
      <c r="J24" s="1220"/>
      <c r="K24" s="1231" t="s">
        <v>101</v>
      </c>
      <c r="L24" s="1220"/>
      <c r="M24" s="1231" t="s">
        <v>106</v>
      </c>
      <c r="N24" s="1221"/>
      <c r="O24" s="1220" t="s">
        <v>155</v>
      </c>
      <c r="P24" s="1221"/>
      <c r="Q24" s="1220" t="s">
        <v>160</v>
      </c>
      <c r="R24" s="1221"/>
      <c r="S24" s="1220" t="s">
        <v>179</v>
      </c>
      <c r="T24" s="1221"/>
      <c r="U24" s="1220" t="s">
        <v>189</v>
      </c>
      <c r="V24" s="1221"/>
      <c r="W24" s="1220" t="s">
        <v>194</v>
      </c>
      <c r="X24" s="1221"/>
      <c r="Y24" s="1220" t="s">
        <v>198</v>
      </c>
      <c r="Z24" s="1221"/>
      <c r="AB24" s="1250" t="s">
        <v>142</v>
      </c>
      <c r="AC24" s="1251"/>
    </row>
    <row r="25" spans="1:32" ht="12" x14ac:dyDescent="0.2">
      <c r="B25" s="45" t="s">
        <v>7</v>
      </c>
      <c r="C25" s="57"/>
      <c r="D25" s="65"/>
      <c r="E25" s="21"/>
      <c r="F25" s="65"/>
      <c r="G25" s="207"/>
      <c r="H25" s="339"/>
      <c r="I25" s="207"/>
      <c r="J25" s="207"/>
      <c r="K25" s="229"/>
      <c r="L25" s="207"/>
      <c r="M25" s="229"/>
      <c r="N25" s="339"/>
      <c r="O25" s="207"/>
      <c r="P25" s="339"/>
      <c r="Q25" s="207"/>
      <c r="R25" s="339"/>
      <c r="S25" s="207"/>
      <c r="T25" s="339"/>
      <c r="U25" s="207"/>
      <c r="V25" s="339"/>
      <c r="W25" s="207"/>
      <c r="X25" s="339"/>
      <c r="Y25" s="207"/>
      <c r="Z25" s="339"/>
      <c r="AB25" s="583"/>
      <c r="AC25" s="430"/>
    </row>
    <row r="26" spans="1:32" ht="12" x14ac:dyDescent="0.2">
      <c r="B26" s="50" t="s">
        <v>8</v>
      </c>
      <c r="C26" s="58"/>
      <c r="D26" s="66"/>
      <c r="E26" s="20"/>
      <c r="F26" s="236"/>
      <c r="G26" s="208"/>
      <c r="H26" s="350"/>
      <c r="I26" s="208"/>
      <c r="J26" s="378"/>
      <c r="K26" s="228"/>
      <c r="L26" s="378"/>
      <c r="M26" s="228"/>
      <c r="N26" s="350"/>
      <c r="O26" s="208"/>
      <c r="P26" s="350"/>
      <c r="Q26" s="208"/>
      <c r="R26" s="350"/>
      <c r="S26" s="208"/>
      <c r="T26" s="350"/>
      <c r="U26" s="208"/>
      <c r="V26" s="350"/>
      <c r="W26" s="208"/>
      <c r="X26" s="350"/>
      <c r="Y26" s="208"/>
      <c r="Z26" s="350"/>
      <c r="AB26" s="583"/>
      <c r="AC26" s="430"/>
    </row>
    <row r="27" spans="1:32" ht="12" x14ac:dyDescent="0.2">
      <c r="B27" s="50" t="s">
        <v>9</v>
      </c>
      <c r="C27" s="58"/>
      <c r="D27" s="67">
        <v>64</v>
      </c>
      <c r="E27" s="20"/>
      <c r="F27" s="237">
        <v>48</v>
      </c>
      <c r="G27" s="208"/>
      <c r="H27" s="340">
        <v>34</v>
      </c>
      <c r="I27" s="208"/>
      <c r="J27" s="313">
        <v>38</v>
      </c>
      <c r="K27" s="228"/>
      <c r="L27" s="313">
        <f>30</f>
        <v>30</v>
      </c>
      <c r="M27" s="228"/>
      <c r="N27" s="340">
        <v>32</v>
      </c>
      <c r="O27" s="208"/>
      <c r="P27" s="340">
        <v>12</v>
      </c>
      <c r="Q27" s="208"/>
      <c r="R27" s="340">
        <v>28</v>
      </c>
      <c r="S27" s="208"/>
      <c r="T27" s="340">
        <v>9</v>
      </c>
      <c r="U27" s="208"/>
      <c r="V27" s="340">
        <v>29</v>
      </c>
      <c r="W27" s="208"/>
      <c r="X27" s="340">
        <v>24</v>
      </c>
      <c r="Y27" s="208"/>
      <c r="Z27" s="1186"/>
      <c r="AB27" s="484"/>
      <c r="AC27" s="653">
        <f t="shared" ref="AC27:AC28" si="0">AVERAGE(X27,V27,T27,R27,Z27)</f>
        <v>22.5</v>
      </c>
    </row>
    <row r="28" spans="1:32" ht="12" x14ac:dyDescent="0.2">
      <c r="B28" s="50" t="s">
        <v>10</v>
      </c>
      <c r="C28" s="58"/>
      <c r="D28" s="67">
        <v>58</v>
      </c>
      <c r="E28" s="20"/>
      <c r="F28" s="237">
        <f>46+1323+1174</f>
        <v>2543</v>
      </c>
      <c r="G28" s="208"/>
      <c r="H28" s="340">
        <v>493</v>
      </c>
      <c r="I28" s="208"/>
      <c r="J28" s="313">
        <v>1044</v>
      </c>
      <c r="K28" s="228"/>
      <c r="L28" s="313">
        <f>291</f>
        <v>291</v>
      </c>
      <c r="M28" s="228"/>
      <c r="N28" s="340">
        <v>316</v>
      </c>
      <c r="O28" s="208"/>
      <c r="P28" s="340">
        <v>380</v>
      </c>
      <c r="Q28" s="208"/>
      <c r="R28" s="340">
        <v>360</v>
      </c>
      <c r="S28" s="208"/>
      <c r="T28" s="340">
        <v>373</v>
      </c>
      <c r="U28" s="208"/>
      <c r="V28" s="340">
        <v>308</v>
      </c>
      <c r="W28" s="208"/>
      <c r="X28" s="340">
        <v>3280</v>
      </c>
      <c r="Y28" s="208"/>
      <c r="Z28" s="1186"/>
      <c r="AB28" s="599"/>
      <c r="AC28" s="653">
        <f t="shared" si="0"/>
        <v>1080.25</v>
      </c>
    </row>
    <row r="29" spans="1:32" ht="12" x14ac:dyDescent="0.2">
      <c r="B29" s="50" t="s">
        <v>11</v>
      </c>
      <c r="C29" s="58"/>
      <c r="D29" s="67">
        <v>0</v>
      </c>
      <c r="E29" s="20"/>
      <c r="F29" s="236">
        <f>2771+414</f>
        <v>3185</v>
      </c>
      <c r="G29" s="208"/>
      <c r="H29" s="350"/>
      <c r="I29" s="208"/>
      <c r="J29" s="378"/>
      <c r="K29" s="228"/>
      <c r="L29" s="378"/>
      <c r="M29" s="228"/>
      <c r="N29" s="350"/>
      <c r="O29" s="208"/>
      <c r="P29" s="350"/>
      <c r="Q29" s="208"/>
      <c r="R29" s="350"/>
      <c r="S29" s="208"/>
      <c r="T29" s="350"/>
      <c r="U29" s="208"/>
      <c r="V29" s="350"/>
      <c r="W29" s="208"/>
      <c r="X29" s="350"/>
      <c r="Y29" s="208"/>
      <c r="Z29" s="1187"/>
      <c r="AB29" s="599"/>
      <c r="AC29" s="653"/>
    </row>
    <row r="30" spans="1:32" ht="12" x14ac:dyDescent="0.2">
      <c r="B30" s="50" t="s">
        <v>12</v>
      </c>
      <c r="C30" s="58"/>
      <c r="D30" s="67">
        <v>0</v>
      </c>
      <c r="E30" s="20"/>
      <c r="F30" s="236">
        <f>164+171</f>
        <v>335</v>
      </c>
      <c r="G30" s="208"/>
      <c r="H30" s="350"/>
      <c r="I30" s="208"/>
      <c r="J30" s="378"/>
      <c r="K30" s="228"/>
      <c r="L30" s="378"/>
      <c r="M30" s="228"/>
      <c r="N30" s="350"/>
      <c r="O30" s="208"/>
      <c r="P30" s="350"/>
      <c r="Q30" s="208"/>
      <c r="R30" s="350"/>
      <c r="S30" s="208"/>
      <c r="T30" s="350"/>
      <c r="U30" s="208"/>
      <c r="V30" s="350"/>
      <c r="W30" s="208"/>
      <c r="X30" s="350"/>
      <c r="Y30" s="208"/>
      <c r="Z30" s="1187"/>
      <c r="AB30" s="599"/>
      <c r="AC30" s="653"/>
    </row>
    <row r="31" spans="1:32" thickBot="1" x14ac:dyDescent="0.25">
      <c r="B31" s="51" t="s">
        <v>13</v>
      </c>
      <c r="C31" s="762"/>
      <c r="D31" s="140">
        <f>SUM(D27:D30)</f>
        <v>122</v>
      </c>
      <c r="E31" s="139"/>
      <c r="F31" s="140">
        <f>SUM(F27:F30)</f>
        <v>6111</v>
      </c>
      <c r="G31" s="256"/>
      <c r="H31" s="351">
        <f>SUM(H27:H30)</f>
        <v>527</v>
      </c>
      <c r="I31" s="361"/>
      <c r="J31" s="351">
        <f>SUM(J27:J30)</f>
        <v>1082</v>
      </c>
      <c r="K31" s="256"/>
      <c r="L31" s="389">
        <f>SUM(L27:L30)</f>
        <v>321</v>
      </c>
      <c r="M31" s="256"/>
      <c r="N31" s="351">
        <f>SUM(N27:N28)</f>
        <v>348</v>
      </c>
      <c r="O31" s="361"/>
      <c r="P31" s="351">
        <f>SUM(P27:P30)</f>
        <v>392</v>
      </c>
      <c r="Q31" s="361"/>
      <c r="R31" s="351">
        <f>SUM(R27:R30)</f>
        <v>388</v>
      </c>
      <c r="S31" s="361"/>
      <c r="T31" s="351">
        <f>SUM(T27:T30)</f>
        <v>382</v>
      </c>
      <c r="U31" s="361"/>
      <c r="V31" s="351">
        <f>SUM(V27:V30)</f>
        <v>337</v>
      </c>
      <c r="W31" s="361"/>
      <c r="X31" s="351">
        <f>SUM(X27:X30)</f>
        <v>3304</v>
      </c>
      <c r="Y31" s="361"/>
      <c r="Z31" s="1188">
        <f>SUM(Z27:Z30)</f>
        <v>0</v>
      </c>
      <c r="AB31" s="600"/>
      <c r="AC31" s="753">
        <f>AVERAGE(X31,V31,T31,R31,Z31)</f>
        <v>882.2</v>
      </c>
    </row>
    <row r="32" spans="1:32" ht="14.25" thickTop="1" thickBot="1" x14ac:dyDescent="0.25">
      <c r="A32" s="430"/>
      <c r="B32" s="649" t="s">
        <v>141</v>
      </c>
      <c r="C32" s="1228" t="s">
        <v>30</v>
      </c>
      <c r="D32" s="1229"/>
      <c r="E32" s="1230" t="s">
        <v>31</v>
      </c>
      <c r="F32" s="1229"/>
      <c r="G32" s="1249" t="s">
        <v>110</v>
      </c>
      <c r="H32" s="1222"/>
      <c r="I32" s="1249" t="s">
        <v>111</v>
      </c>
      <c r="J32" s="1252"/>
      <c r="K32" s="1249" t="s">
        <v>128</v>
      </c>
      <c r="L32" s="1252"/>
      <c r="M32" s="1254" t="s">
        <v>129</v>
      </c>
      <c r="N32" s="1222"/>
      <c r="O32" s="1218" t="s">
        <v>156</v>
      </c>
      <c r="P32" s="1222"/>
      <c r="Q32" s="1218" t="s">
        <v>161</v>
      </c>
      <c r="R32" s="1222"/>
      <c r="S32" s="1218" t="s">
        <v>180</v>
      </c>
      <c r="T32" s="1222"/>
      <c r="U32" s="1218" t="s">
        <v>190</v>
      </c>
      <c r="V32" s="1222"/>
      <c r="W32" s="1218" t="s">
        <v>195</v>
      </c>
      <c r="X32" s="1222"/>
      <c r="Y32" s="1218" t="s">
        <v>199</v>
      </c>
      <c r="Z32" s="1222"/>
      <c r="AA32" s="625"/>
      <c r="AB32" s="1255" t="s">
        <v>142</v>
      </c>
      <c r="AC32" s="1256"/>
      <c r="AD32" s="397"/>
      <c r="AE32" s="397"/>
      <c r="AF32" s="432"/>
    </row>
    <row r="33" spans="1:32" x14ac:dyDescent="0.2">
      <c r="A33" s="430"/>
      <c r="B33" s="842" t="s">
        <v>115</v>
      </c>
      <c r="C33" s="1239">
        <v>0</v>
      </c>
      <c r="D33" s="1240"/>
      <c r="E33" s="1241">
        <v>0.5</v>
      </c>
      <c r="F33" s="1242"/>
      <c r="G33" s="1241">
        <v>0.89700000000000002</v>
      </c>
      <c r="H33" s="1242"/>
      <c r="I33" s="1232"/>
      <c r="J33" s="1233"/>
      <c r="K33" s="1135"/>
      <c r="L33" s="1136"/>
      <c r="M33" s="1137"/>
      <c r="N33" s="902"/>
      <c r="O33" s="901"/>
      <c r="P33" s="902"/>
      <c r="Q33" s="901"/>
      <c r="R33" s="902"/>
      <c r="S33" s="767"/>
      <c r="T33" s="756">
        <v>4.8000000000000001E-2</v>
      </c>
      <c r="U33" s="767"/>
      <c r="V33" s="756">
        <v>0.106</v>
      </c>
      <c r="W33" s="767"/>
      <c r="X33" s="756">
        <v>2.1999999999999999E-2</v>
      </c>
      <c r="Y33" s="767"/>
      <c r="Z33" s="756">
        <v>0.6</v>
      </c>
      <c r="AA33" s="769"/>
      <c r="AB33" s="1141"/>
      <c r="AC33" s="1142"/>
      <c r="AD33" s="397"/>
      <c r="AE33" s="397"/>
      <c r="AF33" s="432"/>
    </row>
    <row r="34" spans="1:32" x14ac:dyDescent="0.2">
      <c r="A34" s="430"/>
      <c r="B34" s="844" t="s">
        <v>116</v>
      </c>
      <c r="C34" s="1247">
        <v>0</v>
      </c>
      <c r="D34" s="1248"/>
      <c r="E34" s="1234">
        <v>0</v>
      </c>
      <c r="F34" s="1235"/>
      <c r="G34" s="1234">
        <v>0</v>
      </c>
      <c r="H34" s="1235"/>
      <c r="I34" s="1243"/>
      <c r="J34" s="1244"/>
      <c r="K34" s="1138" t="s">
        <v>181</v>
      </c>
      <c r="L34" s="904"/>
      <c r="M34" s="1138"/>
      <c r="N34" s="904"/>
      <c r="O34" s="903"/>
      <c r="P34" s="904"/>
      <c r="Q34" s="903"/>
      <c r="R34" s="904"/>
      <c r="S34" s="768"/>
      <c r="T34" s="757">
        <v>0</v>
      </c>
      <c r="U34" s="768"/>
      <c r="V34" s="757">
        <v>0</v>
      </c>
      <c r="W34" s="768"/>
      <c r="X34" s="757">
        <v>0</v>
      </c>
      <c r="Y34" s="768"/>
      <c r="Z34" s="757">
        <v>0</v>
      </c>
      <c r="AA34" s="769"/>
      <c r="AB34" s="1141"/>
      <c r="AC34" s="1142"/>
      <c r="AD34" s="397"/>
      <c r="AE34" s="397"/>
      <c r="AF34" s="432"/>
    </row>
    <row r="35" spans="1:32" thickBot="1" x14ac:dyDescent="0.25">
      <c r="B35" s="575" t="s">
        <v>117</v>
      </c>
      <c r="C35" s="1236">
        <f>1-C33-C34</f>
        <v>1</v>
      </c>
      <c r="D35" s="1237"/>
      <c r="E35" s="1238">
        <f>1-E33-E34</f>
        <v>0.5</v>
      </c>
      <c r="F35" s="1237"/>
      <c r="G35" s="1238">
        <f>1-G33-G34</f>
        <v>0.10299999999999998</v>
      </c>
      <c r="H35" s="1237"/>
      <c r="I35" s="1245"/>
      <c r="J35" s="1246"/>
      <c r="K35" s="1245"/>
      <c r="L35" s="1246"/>
      <c r="M35" s="1245"/>
      <c r="N35" s="1246"/>
      <c r="O35" s="1253"/>
      <c r="P35" s="1246"/>
      <c r="Q35" s="1253"/>
      <c r="R35" s="1246"/>
      <c r="S35" s="1223">
        <f>1-T33-T34</f>
        <v>0.95199999999999996</v>
      </c>
      <c r="T35" s="1224"/>
      <c r="U35" s="1223">
        <f>1-V33-V34</f>
        <v>0.89400000000000002</v>
      </c>
      <c r="V35" s="1224"/>
      <c r="W35" s="1223">
        <f>1-X33-X34</f>
        <v>0.97799999999999998</v>
      </c>
      <c r="X35" s="1224"/>
      <c r="Y35" s="1223">
        <f>1-Z33-Z34</f>
        <v>0.4</v>
      </c>
      <c r="Z35" s="1224"/>
      <c r="AA35" s="769"/>
      <c r="AB35" s="1143"/>
      <c r="AC35" s="1144"/>
      <c r="AD35" s="397"/>
      <c r="AE35" s="397"/>
      <c r="AF35" s="432"/>
    </row>
    <row r="36" spans="1:32" thickTop="1" x14ac:dyDescent="0.2">
      <c r="B36" s="92"/>
      <c r="C36" s="93"/>
      <c r="D36" s="94"/>
      <c r="E36" s="93"/>
      <c r="F36" s="94"/>
      <c r="G36" s="210"/>
      <c r="H36" s="211"/>
      <c r="I36" s="210"/>
      <c r="J36" s="211"/>
      <c r="K36" s="210"/>
      <c r="L36" s="211"/>
      <c r="M36" s="210"/>
      <c r="N36" s="211"/>
      <c r="O36" s="210"/>
      <c r="P36" s="211"/>
      <c r="Q36" s="210"/>
      <c r="R36" s="211"/>
      <c r="S36" s="210"/>
      <c r="T36" s="211"/>
      <c r="U36" s="210"/>
      <c r="V36" s="211"/>
      <c r="W36" s="210"/>
      <c r="X36" s="211"/>
      <c r="Y36" s="210"/>
      <c r="Z36" s="211"/>
      <c r="AC36" s="627"/>
    </row>
    <row r="37" spans="1:32" x14ac:dyDescent="0.2">
      <c r="A37" s="95" t="s">
        <v>45</v>
      </c>
      <c r="B37" s="82"/>
      <c r="C37" s="22"/>
      <c r="D37" s="22"/>
      <c r="E37" s="22"/>
      <c r="F37" s="22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</row>
    <row r="38" spans="1:32" ht="13.5" thickBot="1" x14ac:dyDescent="0.25">
      <c r="A38" s="95"/>
      <c r="B38" s="82" t="s">
        <v>20</v>
      </c>
      <c r="C38" s="22"/>
      <c r="D38" s="22"/>
      <c r="E38" s="22"/>
      <c r="F38" s="22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</row>
    <row r="39" spans="1:32" ht="14.25" thickTop="1" thickBot="1" x14ac:dyDescent="0.25">
      <c r="A39" s="3"/>
      <c r="B39" s="271" t="s">
        <v>46</v>
      </c>
      <c r="C39" s="1225" t="s">
        <v>28</v>
      </c>
      <c r="D39" s="1226"/>
      <c r="E39" s="1225" t="s">
        <v>29</v>
      </c>
      <c r="F39" s="1226"/>
      <c r="G39" s="1220" t="s">
        <v>89</v>
      </c>
      <c r="H39" s="1220"/>
      <c r="I39" s="1231" t="s">
        <v>99</v>
      </c>
      <c r="J39" s="1220"/>
      <c r="K39" s="1231" t="s">
        <v>101</v>
      </c>
      <c r="L39" s="1220"/>
      <c r="M39" s="1231" t="s">
        <v>106</v>
      </c>
      <c r="N39" s="1221"/>
      <c r="O39" s="1220" t="s">
        <v>155</v>
      </c>
      <c r="P39" s="1221"/>
      <c r="Q39" s="1220" t="s">
        <v>160</v>
      </c>
      <c r="R39" s="1221"/>
      <c r="S39" s="1220" t="s">
        <v>179</v>
      </c>
      <c r="T39" s="1221"/>
      <c r="U39" s="1220" t="s">
        <v>189</v>
      </c>
      <c r="V39" s="1221"/>
      <c r="W39" s="1220" t="s">
        <v>194</v>
      </c>
      <c r="X39" s="1221"/>
      <c r="Y39" s="1220" t="s">
        <v>198</v>
      </c>
      <c r="Z39" s="1221"/>
      <c r="AB39" s="1250" t="s">
        <v>142</v>
      </c>
      <c r="AC39" s="1251"/>
    </row>
    <row r="40" spans="1:32" x14ac:dyDescent="0.2">
      <c r="A40" s="3"/>
      <c r="B40" s="272" t="s">
        <v>47</v>
      </c>
      <c r="C40" s="57"/>
      <c r="D40" s="65"/>
      <c r="E40" s="57"/>
      <c r="F40" s="65"/>
      <c r="G40" s="207"/>
      <c r="H40" s="339"/>
      <c r="I40" s="207"/>
      <c r="J40" s="207"/>
      <c r="K40" s="229"/>
      <c r="L40" s="207"/>
      <c r="M40" s="229"/>
      <c r="N40" s="339"/>
      <c r="O40" s="207"/>
      <c r="P40" s="339"/>
      <c r="Q40" s="207"/>
      <c r="R40" s="339"/>
      <c r="S40" s="207"/>
      <c r="T40" s="339"/>
      <c r="U40" s="207"/>
      <c r="V40" s="339"/>
      <c r="W40" s="207"/>
      <c r="X40" s="339"/>
      <c r="Y40" s="207"/>
      <c r="Z40" s="339"/>
      <c r="AB40" s="583"/>
      <c r="AC40" s="430"/>
    </row>
    <row r="41" spans="1:32" x14ac:dyDescent="0.2">
      <c r="A41" s="3"/>
      <c r="B41" s="273" t="s">
        <v>48</v>
      </c>
      <c r="C41" s="57"/>
      <c r="D41" s="141">
        <f>719487+1514193+851126</f>
        <v>3084806</v>
      </c>
      <c r="E41" s="57"/>
      <c r="F41" s="238">
        <f>2413371+537260</f>
        <v>2950631</v>
      </c>
      <c r="G41" s="207"/>
      <c r="H41" s="238">
        <f>2554114+418817</f>
        <v>2972931</v>
      </c>
      <c r="I41" s="207"/>
      <c r="J41" s="257">
        <f>2575109+616221</f>
        <v>3191330</v>
      </c>
      <c r="K41" s="229"/>
      <c r="L41" s="257">
        <f>2607990+863620</f>
        <v>3471610</v>
      </c>
      <c r="M41" s="229"/>
      <c r="N41" s="238">
        <f>3837369+709717</f>
        <v>4547086</v>
      </c>
      <c r="O41" s="207"/>
      <c r="P41" s="238">
        <f>3725908+608646</f>
        <v>4334554</v>
      </c>
      <c r="Q41" s="207"/>
      <c r="R41" s="238">
        <v>4574995</v>
      </c>
      <c r="S41" s="207"/>
      <c r="T41" s="238">
        <v>4660694</v>
      </c>
      <c r="U41" s="207"/>
      <c r="V41" s="238">
        <v>4716398</v>
      </c>
      <c r="W41" s="207"/>
      <c r="X41" s="238">
        <v>4873971</v>
      </c>
      <c r="Y41" s="207"/>
      <c r="Z41" s="238">
        <v>6095918</v>
      </c>
      <c r="AB41" s="484"/>
      <c r="AC41" s="653">
        <f t="shared" ref="AC41:AC44" si="1">AVERAGE(X41,V41,T41,R41,Z41)</f>
        <v>4984395.2</v>
      </c>
    </row>
    <row r="42" spans="1:32" x14ac:dyDescent="0.2">
      <c r="A42" s="3"/>
      <c r="B42" s="273" t="s">
        <v>166</v>
      </c>
      <c r="C42" s="57"/>
      <c r="D42" s="141"/>
      <c r="E42" s="57"/>
      <c r="F42" s="238"/>
      <c r="G42" s="207"/>
      <c r="H42" s="238"/>
      <c r="I42" s="207"/>
      <c r="J42" s="257">
        <v>325000</v>
      </c>
      <c r="K42" s="229"/>
      <c r="L42" s="257">
        <v>325000</v>
      </c>
      <c r="M42" s="229"/>
      <c r="N42" s="238">
        <v>325000</v>
      </c>
      <c r="O42" s="207"/>
      <c r="P42" s="238">
        <v>174757</v>
      </c>
      <c r="Q42" s="207"/>
      <c r="R42" s="238">
        <v>175013</v>
      </c>
      <c r="S42" s="207"/>
      <c r="T42" s="238">
        <v>117753</v>
      </c>
      <c r="U42" s="207"/>
      <c r="V42" s="238">
        <v>117740</v>
      </c>
      <c r="W42" s="207"/>
      <c r="X42" s="238">
        <v>117650</v>
      </c>
      <c r="Y42" s="207"/>
      <c r="Z42" s="238">
        <v>117619</v>
      </c>
      <c r="AB42" s="484"/>
      <c r="AC42" s="653">
        <f t="shared" si="1"/>
        <v>129155</v>
      </c>
    </row>
    <row r="43" spans="1:32" ht="24" x14ac:dyDescent="0.2">
      <c r="A43" s="3"/>
      <c r="B43" s="274" t="s">
        <v>167</v>
      </c>
      <c r="C43" s="58"/>
      <c r="D43" s="142">
        <v>3160459</v>
      </c>
      <c r="E43" s="58"/>
      <c r="F43" s="239">
        <f>325000+5639247</f>
        <v>5964247</v>
      </c>
      <c r="G43" s="208"/>
      <c r="H43" s="239">
        <f>6015418+2053722</f>
        <v>8069140</v>
      </c>
      <c r="I43" s="208"/>
      <c r="J43" s="258">
        <v>7933369</v>
      </c>
      <c r="K43" s="228"/>
      <c r="L43" s="258">
        <v>7463693</v>
      </c>
      <c r="M43" s="228"/>
      <c r="N43" s="239">
        <v>6867959</v>
      </c>
      <c r="O43" s="208"/>
      <c r="P43" s="239">
        <v>6770232</v>
      </c>
      <c r="Q43" s="208"/>
      <c r="R43" s="239">
        <v>6650677</v>
      </c>
      <c r="S43" s="208"/>
      <c r="T43" s="239">
        <v>7328633</v>
      </c>
      <c r="U43" s="208"/>
      <c r="V43" s="239">
        <v>7432377</v>
      </c>
      <c r="W43" s="208"/>
      <c r="X43" s="239">
        <v>7552411</v>
      </c>
      <c r="Y43" s="208"/>
      <c r="Z43" s="239">
        <v>7619866</v>
      </c>
      <c r="AB43" s="599"/>
      <c r="AC43" s="653">
        <f t="shared" si="1"/>
        <v>7316792.7999999998</v>
      </c>
    </row>
    <row r="44" spans="1:32" x14ac:dyDescent="0.2">
      <c r="A44" s="3"/>
      <c r="B44" s="275" t="s">
        <v>49</v>
      </c>
      <c r="C44" s="143"/>
      <c r="D44" s="144">
        <f>SUM(D41:D43)</f>
        <v>6245265</v>
      </c>
      <c r="E44" s="143"/>
      <c r="F44" s="240">
        <f>SUM(F41:F43)</f>
        <v>8914878</v>
      </c>
      <c r="G44" s="212"/>
      <c r="H44" s="240">
        <f>SUM(H41:H43)</f>
        <v>11042071</v>
      </c>
      <c r="I44" s="212"/>
      <c r="J44" s="259">
        <f>SUM(J41:J43)</f>
        <v>11449699</v>
      </c>
      <c r="K44" s="230"/>
      <c r="L44" s="259">
        <f>SUM(L41:L43)</f>
        <v>11260303</v>
      </c>
      <c r="M44" s="230"/>
      <c r="N44" s="240">
        <f>SUM(N41:N43)</f>
        <v>11740045</v>
      </c>
      <c r="O44" s="212"/>
      <c r="P44" s="240">
        <f>SUM(P41:P43)</f>
        <v>11279543</v>
      </c>
      <c r="Q44" s="212"/>
      <c r="R44" s="240">
        <f>SUM(R41:R43)</f>
        <v>11400685</v>
      </c>
      <c r="S44" s="212"/>
      <c r="T44" s="240">
        <f>SUM(T41:T43)</f>
        <v>12107080</v>
      </c>
      <c r="U44" s="212"/>
      <c r="V44" s="240">
        <f>SUM(V41:V43)</f>
        <v>12266515</v>
      </c>
      <c r="W44" s="212"/>
      <c r="X44" s="240">
        <f>SUM(X41:X43)</f>
        <v>12544032</v>
      </c>
      <c r="Y44" s="212"/>
      <c r="Z44" s="240">
        <f>SUM(Z41:Z43)</f>
        <v>13833403</v>
      </c>
      <c r="AB44" s="599"/>
      <c r="AC44" s="753">
        <f t="shared" si="1"/>
        <v>12430343</v>
      </c>
    </row>
    <row r="45" spans="1:32" x14ac:dyDescent="0.2">
      <c r="A45" s="3"/>
      <c r="B45" s="276" t="s">
        <v>50</v>
      </c>
      <c r="C45" s="58"/>
      <c r="D45" s="142"/>
      <c r="E45" s="58"/>
      <c r="F45" s="142"/>
      <c r="G45" s="208"/>
      <c r="H45" s="239"/>
      <c r="I45" s="208"/>
      <c r="J45" s="258"/>
      <c r="K45" s="228"/>
      <c r="L45" s="258"/>
      <c r="M45" s="228"/>
      <c r="N45" s="239"/>
      <c r="O45" s="208"/>
      <c r="P45" s="239"/>
      <c r="Q45" s="208"/>
      <c r="R45" s="239"/>
      <c r="S45" s="208"/>
      <c r="T45" s="239"/>
      <c r="U45" s="208"/>
      <c r="V45" s="239"/>
      <c r="W45" s="208"/>
      <c r="X45" s="239"/>
      <c r="Y45" s="208"/>
      <c r="Z45" s="239"/>
      <c r="AB45" s="599"/>
      <c r="AC45" s="653"/>
    </row>
    <row r="46" spans="1:32" x14ac:dyDescent="0.2">
      <c r="A46" s="3"/>
      <c r="B46" s="273" t="s">
        <v>48</v>
      </c>
      <c r="C46" s="58"/>
      <c r="D46" s="142"/>
      <c r="E46" s="58"/>
      <c r="F46" s="142"/>
      <c r="G46" s="208"/>
      <c r="H46" s="239"/>
      <c r="I46" s="208"/>
      <c r="J46" s="258"/>
      <c r="K46" s="228"/>
      <c r="L46" s="258"/>
      <c r="M46" s="228"/>
      <c r="N46" s="239"/>
      <c r="O46" s="208"/>
      <c r="P46" s="239"/>
      <c r="Q46" s="208"/>
      <c r="R46" s="239"/>
      <c r="S46" s="208"/>
      <c r="T46" s="239"/>
      <c r="U46" s="208"/>
      <c r="V46" s="239"/>
      <c r="W46" s="208"/>
      <c r="X46" s="239"/>
      <c r="Y46" s="208"/>
      <c r="Z46" s="239"/>
      <c r="AB46" s="599"/>
      <c r="AC46" s="653"/>
    </row>
    <row r="47" spans="1:32" x14ac:dyDescent="0.2">
      <c r="A47" s="3"/>
      <c r="B47" s="273" t="s">
        <v>166</v>
      </c>
      <c r="C47" s="58"/>
      <c r="D47" s="142"/>
      <c r="E47" s="58"/>
      <c r="F47" s="142"/>
      <c r="G47" s="208"/>
      <c r="H47" s="239"/>
      <c r="I47" s="208"/>
      <c r="J47" s="258"/>
      <c r="K47" s="228"/>
      <c r="L47" s="258"/>
      <c r="M47" s="228"/>
      <c r="N47" s="239"/>
      <c r="O47" s="208"/>
      <c r="P47" s="239"/>
      <c r="Q47" s="208"/>
      <c r="R47" s="239"/>
      <c r="S47" s="208"/>
      <c r="T47" s="239"/>
      <c r="U47" s="208"/>
      <c r="V47" s="239"/>
      <c r="W47" s="208"/>
      <c r="X47" s="239"/>
      <c r="Y47" s="208"/>
      <c r="Z47" s="239"/>
      <c r="AB47" s="599"/>
      <c r="AC47" s="653"/>
    </row>
    <row r="48" spans="1:32" ht="24" x14ac:dyDescent="0.2">
      <c r="A48" s="3"/>
      <c r="B48" s="274" t="s">
        <v>168</v>
      </c>
      <c r="C48" s="58"/>
      <c r="D48" s="142"/>
      <c r="E48" s="58"/>
      <c r="F48" s="142"/>
      <c r="G48" s="208"/>
      <c r="H48" s="239"/>
      <c r="I48" s="208"/>
      <c r="J48" s="258"/>
      <c r="K48" s="228"/>
      <c r="L48" s="258"/>
      <c r="M48" s="228"/>
      <c r="N48" s="239"/>
      <c r="O48" s="208"/>
      <c r="P48" s="239"/>
      <c r="Q48" s="208"/>
      <c r="R48" s="239"/>
      <c r="S48" s="208"/>
      <c r="T48" s="239"/>
      <c r="U48" s="208"/>
      <c r="V48" s="239"/>
      <c r="W48" s="208"/>
      <c r="X48" s="239"/>
      <c r="Y48" s="208"/>
      <c r="Z48" s="239"/>
      <c r="AB48" s="599"/>
      <c r="AC48" s="653"/>
    </row>
    <row r="49" spans="1:29" x14ac:dyDescent="0.2">
      <c r="A49" s="3"/>
      <c r="B49" s="275" t="s">
        <v>51</v>
      </c>
      <c r="C49" s="143"/>
      <c r="D49" s="144">
        <f>SUM(D46:D48)</f>
        <v>0</v>
      </c>
      <c r="E49" s="143"/>
      <c r="F49" s="144">
        <f>SUM(F46:F48)</f>
        <v>0</v>
      </c>
      <c r="G49" s="212"/>
      <c r="H49" s="240">
        <f>SUM(H46:H48)</f>
        <v>0</v>
      </c>
      <c r="I49" s="212"/>
      <c r="J49" s="259">
        <f>SUM(J46:J48)</f>
        <v>0</v>
      </c>
      <c r="K49" s="230"/>
      <c r="L49" s="259">
        <f>SUM(L46:L48)</f>
        <v>0</v>
      </c>
      <c r="M49" s="230"/>
      <c r="N49" s="240">
        <f>SUM(N46:N48)</f>
        <v>0</v>
      </c>
      <c r="O49" s="212"/>
      <c r="P49" s="240">
        <f>SUM(P46:P48)</f>
        <v>0</v>
      </c>
      <c r="Q49" s="212"/>
      <c r="R49" s="240">
        <f>SUM(R46:R48)</f>
        <v>0</v>
      </c>
      <c r="S49" s="212"/>
      <c r="T49" s="240">
        <f>SUM(T46:T48)</f>
        <v>0</v>
      </c>
      <c r="U49" s="212"/>
      <c r="V49" s="240">
        <f>SUM(V46:V48)</f>
        <v>0</v>
      </c>
      <c r="W49" s="212"/>
      <c r="X49" s="240">
        <f>SUM(X46:X48)</f>
        <v>0</v>
      </c>
      <c r="Y49" s="212"/>
      <c r="Z49" s="240">
        <f>SUM(Z46:Z48)</f>
        <v>0</v>
      </c>
      <c r="AB49" s="599"/>
      <c r="AC49" s="653">
        <f t="shared" ref="AC49:AC50" si="2">AVERAGE(X49,V49,T49,R49,Z49)</f>
        <v>0</v>
      </c>
    </row>
    <row r="50" spans="1:29" ht="13.5" thickBot="1" x14ac:dyDescent="0.25">
      <c r="A50" s="3"/>
      <c r="B50" s="277" t="s">
        <v>52</v>
      </c>
      <c r="C50" s="58"/>
      <c r="D50" s="144">
        <f>SUM(D44,D49)</f>
        <v>6245265</v>
      </c>
      <c r="E50" s="58"/>
      <c r="F50" s="144">
        <f>SUM(F44,F49)</f>
        <v>8914878</v>
      </c>
      <c r="G50" s="208"/>
      <c r="H50" s="240">
        <f>SUM(H44,H49)</f>
        <v>11042071</v>
      </c>
      <c r="I50" s="208"/>
      <c r="J50" s="259">
        <f>SUM(J44,J49)</f>
        <v>11449699</v>
      </c>
      <c r="K50" s="228"/>
      <c r="L50" s="259">
        <f>SUM(L44,L49)</f>
        <v>11260303</v>
      </c>
      <c r="M50" s="228"/>
      <c r="N50" s="240">
        <f>SUM(N44,N49)</f>
        <v>11740045</v>
      </c>
      <c r="O50" s="208"/>
      <c r="P50" s="240">
        <f>SUM(P44,P49)</f>
        <v>11279543</v>
      </c>
      <c r="Q50" s="208"/>
      <c r="R50" s="240">
        <f>SUM(R44,R49)</f>
        <v>11400685</v>
      </c>
      <c r="S50" s="208"/>
      <c r="T50" s="240">
        <f>SUM(T44,T49)</f>
        <v>12107080</v>
      </c>
      <c r="U50" s="208"/>
      <c r="V50" s="240">
        <f>SUM(V44,V49)</f>
        <v>12266515</v>
      </c>
      <c r="W50" s="208"/>
      <c r="X50" s="240">
        <f>SUM(X44,X49)</f>
        <v>12544032</v>
      </c>
      <c r="Y50" s="208"/>
      <c r="Z50" s="240">
        <f>SUM(Z44,Z49)</f>
        <v>13833403</v>
      </c>
      <c r="AB50" s="601"/>
      <c r="AC50" s="753">
        <f t="shared" si="2"/>
        <v>12430343</v>
      </c>
    </row>
    <row r="51" spans="1:29" ht="12" x14ac:dyDescent="0.2">
      <c r="B51" s="278" t="s">
        <v>172</v>
      </c>
      <c r="C51" s="145"/>
      <c r="D51" s="146"/>
      <c r="E51" s="145"/>
      <c r="F51" s="146"/>
      <c r="G51" s="213"/>
      <c r="H51" s="344"/>
      <c r="I51" s="213"/>
      <c r="J51" s="213"/>
      <c r="K51" s="231"/>
      <c r="L51" s="213"/>
      <c r="M51" s="231"/>
      <c r="N51" s="344"/>
      <c r="O51" s="213"/>
      <c r="P51" s="344"/>
      <c r="Q51" s="213"/>
      <c r="R51" s="344"/>
      <c r="S51" s="213"/>
      <c r="T51" s="344"/>
      <c r="U51" s="213"/>
      <c r="V51" s="344"/>
      <c r="W51" s="213"/>
      <c r="X51" s="344"/>
      <c r="Y51" s="213"/>
      <c r="Z51" s="344"/>
      <c r="AB51" s="583"/>
      <c r="AC51" s="533"/>
    </row>
    <row r="52" spans="1:29" ht="12" x14ac:dyDescent="0.2">
      <c r="B52" s="50" t="s">
        <v>14</v>
      </c>
      <c r="C52" s="461"/>
      <c r="D52" s="68">
        <f>1428497+632506</f>
        <v>2061003</v>
      </c>
      <c r="E52" s="461"/>
      <c r="F52" s="429">
        <f>2793113+3957</f>
        <v>2797070</v>
      </c>
      <c r="G52" s="366"/>
      <c r="H52" s="429">
        <v>2977583</v>
      </c>
      <c r="I52" s="366"/>
      <c r="J52" s="686">
        <v>1813955.36</v>
      </c>
      <c r="K52" s="687"/>
      <c r="L52" s="686">
        <f>1897617+960088+88226</f>
        <v>2945931</v>
      </c>
      <c r="M52" s="232"/>
      <c r="N52" s="801">
        <v>2016869</v>
      </c>
      <c r="O52" s="1074"/>
      <c r="P52" s="1076">
        <v>1869255</v>
      </c>
      <c r="Q52" s="1074"/>
      <c r="R52" s="1076">
        <v>1919211</v>
      </c>
      <c r="S52" s="1074"/>
      <c r="T52" s="1076">
        <v>1813064</v>
      </c>
      <c r="U52" s="1074"/>
      <c r="V52" s="1076">
        <v>2518106</v>
      </c>
      <c r="W52" s="1074"/>
      <c r="X52" s="1076">
        <v>2564659.7646708963</v>
      </c>
      <c r="Y52" s="1074"/>
      <c r="Z52" s="1072"/>
      <c r="AB52" s="484"/>
      <c r="AC52" s="602">
        <f>AVERAGE(X52,V52,T52,R52,P52)</f>
        <v>2136859.1529341796</v>
      </c>
    </row>
    <row r="53" spans="1:29" thickBot="1" x14ac:dyDescent="0.25">
      <c r="B53" s="279" t="s">
        <v>15</v>
      </c>
      <c r="C53" s="148"/>
      <c r="D53" s="69">
        <v>0</v>
      </c>
      <c r="E53" s="148"/>
      <c r="F53" s="318">
        <v>0</v>
      </c>
      <c r="G53" s="215"/>
      <c r="H53" s="318">
        <v>0</v>
      </c>
      <c r="I53" s="215"/>
      <c r="J53" s="688">
        <v>240</v>
      </c>
      <c r="K53" s="689"/>
      <c r="L53" s="688">
        <v>1840</v>
      </c>
      <c r="M53" s="233"/>
      <c r="N53" s="1120">
        <v>0</v>
      </c>
      <c r="O53" s="1121"/>
      <c r="P53" s="1077">
        <v>0</v>
      </c>
      <c r="Q53" s="1075"/>
      <c r="R53" s="1077">
        <v>0</v>
      </c>
      <c r="S53" s="1075"/>
      <c r="T53" s="1077">
        <v>0</v>
      </c>
      <c r="U53" s="1075"/>
      <c r="V53" s="1077">
        <v>0</v>
      </c>
      <c r="W53" s="1075"/>
      <c r="X53" s="1077">
        <v>0</v>
      </c>
      <c r="Y53" s="1075"/>
      <c r="Z53" s="1073"/>
      <c r="AB53" s="601"/>
      <c r="AC53" s="603">
        <f>AVERAGE(X53,V53,T53,R53,P53)</f>
        <v>0</v>
      </c>
    </row>
    <row r="54" spans="1:29" ht="12" x14ac:dyDescent="0.2">
      <c r="B54" s="49"/>
      <c r="C54" s="149" t="s">
        <v>82</v>
      </c>
      <c r="D54" s="150" t="s">
        <v>88</v>
      </c>
      <c r="E54" s="149" t="s">
        <v>82</v>
      </c>
      <c r="F54" s="150" t="s">
        <v>88</v>
      </c>
      <c r="G54" s="216" t="s">
        <v>82</v>
      </c>
      <c r="H54" s="345" t="s">
        <v>88</v>
      </c>
      <c r="I54" s="216" t="s">
        <v>82</v>
      </c>
      <c r="J54" s="359" t="s">
        <v>88</v>
      </c>
      <c r="K54" s="234" t="s">
        <v>82</v>
      </c>
      <c r="L54" s="359" t="s">
        <v>88</v>
      </c>
      <c r="M54" s="234" t="s">
        <v>82</v>
      </c>
      <c r="N54" s="345" t="s">
        <v>88</v>
      </c>
      <c r="O54" s="216" t="s">
        <v>82</v>
      </c>
      <c r="P54" s="345" t="s">
        <v>88</v>
      </c>
      <c r="Q54" s="216" t="s">
        <v>82</v>
      </c>
      <c r="R54" s="345" t="s">
        <v>88</v>
      </c>
      <c r="S54" s="216" t="s">
        <v>82</v>
      </c>
      <c r="T54" s="345" t="s">
        <v>88</v>
      </c>
      <c r="U54" s="216" t="s">
        <v>82</v>
      </c>
      <c r="V54" s="345" t="s">
        <v>88</v>
      </c>
      <c r="W54" s="216" t="s">
        <v>82</v>
      </c>
      <c r="X54" s="345" t="s">
        <v>88</v>
      </c>
      <c r="Y54" s="216" t="s">
        <v>82</v>
      </c>
      <c r="Z54" s="345" t="s">
        <v>88</v>
      </c>
      <c r="AB54" s="605" t="s">
        <v>82</v>
      </c>
      <c r="AC54" s="217" t="s">
        <v>88</v>
      </c>
    </row>
    <row r="55" spans="1:29" ht="11.45" customHeight="1" x14ac:dyDescent="0.2">
      <c r="B55" s="52" t="s">
        <v>37</v>
      </c>
      <c r="C55" s="452">
        <v>19</v>
      </c>
      <c r="D55" s="409">
        <v>9061536</v>
      </c>
      <c r="E55" s="452">
        <v>17</v>
      </c>
      <c r="F55" s="410">
        <f>3822585</f>
        <v>3822585</v>
      </c>
      <c r="G55" s="458">
        <v>14</v>
      </c>
      <c r="H55" s="412">
        <v>2656844</v>
      </c>
      <c r="I55" s="458">
        <v>45</v>
      </c>
      <c r="J55" s="414">
        <v>7971843</v>
      </c>
      <c r="K55" s="466">
        <v>24</v>
      </c>
      <c r="L55" s="427">
        <v>1205140</v>
      </c>
      <c r="M55" s="815">
        <v>33</v>
      </c>
      <c r="N55" s="507">
        <v>5003243</v>
      </c>
      <c r="O55" s="815">
        <v>21</v>
      </c>
      <c r="P55" s="507">
        <v>2235108</v>
      </c>
      <c r="Q55" s="815">
        <v>33</v>
      </c>
      <c r="R55" s="507">
        <v>6813430</v>
      </c>
      <c r="S55" s="815">
        <v>33</v>
      </c>
      <c r="T55" s="507">
        <v>3009831</v>
      </c>
      <c r="U55" s="815">
        <v>40</v>
      </c>
      <c r="V55" s="507">
        <v>10057698</v>
      </c>
      <c r="W55" s="815">
        <v>31</v>
      </c>
      <c r="X55" s="507">
        <v>6030792</v>
      </c>
      <c r="Y55" s="759"/>
      <c r="Z55" s="897"/>
      <c r="AB55" s="691">
        <f t="shared" ref="AB55:AC55" si="3">AVERAGE(W55,U55,S55,Q55,Y55)</f>
        <v>34.25</v>
      </c>
      <c r="AC55" s="604">
        <f t="shared" si="3"/>
        <v>6477937.75</v>
      </c>
    </row>
    <row r="56" spans="1:29" ht="11.45" customHeight="1" x14ac:dyDescent="0.2">
      <c r="B56" s="52"/>
      <c r="C56" s="453"/>
      <c r="D56" s="152"/>
      <c r="E56" s="453"/>
      <c r="F56" s="241"/>
      <c r="G56" s="459"/>
      <c r="H56" s="347"/>
      <c r="I56" s="459"/>
      <c r="J56" s="380"/>
      <c r="K56" s="467"/>
      <c r="L56" s="417"/>
      <c r="M56" s="468"/>
      <c r="N56" s="508"/>
      <c r="O56" s="468"/>
      <c r="P56" s="508"/>
      <c r="Q56" s="468"/>
      <c r="R56" s="508"/>
      <c r="S56" s="468"/>
      <c r="T56" s="508"/>
      <c r="U56" s="468"/>
      <c r="V56" s="508"/>
      <c r="W56" s="468"/>
      <c r="X56" s="508"/>
      <c r="Y56" s="760"/>
      <c r="Z56" s="898"/>
      <c r="AB56" s="692"/>
      <c r="AC56" s="592"/>
    </row>
    <row r="57" spans="1:29" thickBot="1" x14ac:dyDescent="0.25">
      <c r="B57" s="485" t="s">
        <v>16</v>
      </c>
      <c r="C57" s="454">
        <v>28</v>
      </c>
      <c r="D57" s="162">
        <v>7798105</v>
      </c>
      <c r="E57" s="454">
        <v>20</v>
      </c>
      <c r="F57" s="411">
        <v>5411284</v>
      </c>
      <c r="G57" s="460">
        <v>23</v>
      </c>
      <c r="H57" s="413">
        <v>6561644</v>
      </c>
      <c r="I57" s="460">
        <v>30</v>
      </c>
      <c r="J57" s="415">
        <v>7484140</v>
      </c>
      <c r="K57" s="476">
        <v>34</v>
      </c>
      <c r="L57" s="428">
        <v>6394039</v>
      </c>
      <c r="M57" s="473">
        <v>24</v>
      </c>
      <c r="N57" s="509">
        <v>5340335</v>
      </c>
      <c r="O57" s="473">
        <v>33</v>
      </c>
      <c r="P57" s="509">
        <v>6403595</v>
      </c>
      <c r="Q57" s="473">
        <v>29</v>
      </c>
      <c r="R57" s="509">
        <v>3690061</v>
      </c>
      <c r="S57" s="473">
        <v>29</v>
      </c>
      <c r="T57" s="509">
        <v>5678838</v>
      </c>
      <c r="U57" s="473">
        <v>27</v>
      </c>
      <c r="V57" s="509">
        <v>4568448</v>
      </c>
      <c r="W57" s="473">
        <v>27</v>
      </c>
      <c r="X57" s="509">
        <v>4913616</v>
      </c>
      <c r="Y57" s="758"/>
      <c r="Z57" s="899"/>
      <c r="AB57" s="705">
        <f t="shared" ref="AB57:AC57" si="4">AVERAGE(W57,U57,S57,Q57,Y57)</f>
        <v>28</v>
      </c>
      <c r="AC57" s="603">
        <f t="shared" si="4"/>
        <v>4712740.75</v>
      </c>
    </row>
    <row r="58" spans="1:29" ht="12" x14ac:dyDescent="0.2">
      <c r="B58" s="278" t="s">
        <v>59</v>
      </c>
      <c r="C58" s="153"/>
      <c r="D58" s="163"/>
      <c r="E58" s="153"/>
      <c r="F58" s="242"/>
      <c r="G58" s="219"/>
      <c r="H58" s="348"/>
      <c r="I58" s="219"/>
      <c r="J58" s="381"/>
      <c r="K58" s="261"/>
      <c r="L58" s="381"/>
      <c r="M58" s="261"/>
      <c r="N58" s="348"/>
      <c r="O58" s="219"/>
      <c r="P58" s="348"/>
      <c r="Q58" s="219"/>
      <c r="R58" s="348"/>
      <c r="S58" s="219"/>
      <c r="T58" s="348"/>
      <c r="U58" s="219"/>
      <c r="V58" s="348"/>
      <c r="W58" s="219"/>
      <c r="X58" s="348"/>
      <c r="Y58" s="219"/>
      <c r="Z58" s="348"/>
      <c r="AB58" s="583"/>
      <c r="AC58" s="592"/>
    </row>
    <row r="59" spans="1:29" ht="7.5" customHeight="1" x14ac:dyDescent="0.2">
      <c r="B59" s="280" t="s">
        <v>60</v>
      </c>
      <c r="C59" s="154"/>
      <c r="D59" s="164"/>
      <c r="E59" s="154"/>
      <c r="F59" s="243"/>
      <c r="G59" s="220"/>
      <c r="H59" s="349"/>
      <c r="I59" s="220"/>
      <c r="J59" s="137"/>
      <c r="K59" s="262"/>
      <c r="L59" s="137"/>
      <c r="M59" s="262"/>
      <c r="N59" s="349"/>
      <c r="O59" s="220"/>
      <c r="P59" s="349"/>
      <c r="Q59" s="220"/>
      <c r="R59" s="349"/>
      <c r="S59" s="220"/>
      <c r="T59" s="349"/>
      <c r="U59" s="220"/>
      <c r="V59" s="349"/>
      <c r="W59" s="220"/>
      <c r="X59" s="349"/>
      <c r="Y59" s="220"/>
      <c r="Z59" s="349"/>
      <c r="AB59" s="583"/>
      <c r="AC59" s="592"/>
    </row>
    <row r="60" spans="1:29" ht="12" x14ac:dyDescent="0.2">
      <c r="B60" s="486" t="s">
        <v>61</v>
      </c>
      <c r="C60" s="155"/>
      <c r="D60" s="165">
        <f>253617.84+36345.75</f>
        <v>289963.58999999997</v>
      </c>
      <c r="E60" s="155"/>
      <c r="F60" s="165">
        <f>228602.51+15146.13</f>
        <v>243748.64</v>
      </c>
      <c r="G60" s="221"/>
      <c r="H60" s="424">
        <f>445534.13+1523276.36</f>
        <v>1968810.4900000002</v>
      </c>
      <c r="I60" s="221"/>
      <c r="J60" s="382">
        <f>369721.27+51257.64</f>
        <v>420978.91000000003</v>
      </c>
      <c r="K60" s="263"/>
      <c r="L60" s="382">
        <f>358641.29+4794526.14</f>
        <v>5153167.43</v>
      </c>
      <c r="M60" s="263"/>
      <c r="N60" s="424">
        <f>281959+3355947</f>
        <v>3637906</v>
      </c>
      <c r="O60" s="221"/>
      <c r="P60" s="424">
        <f>315115+1683791</f>
        <v>1998906</v>
      </c>
      <c r="Q60" s="221"/>
      <c r="R60" s="424">
        <f>315717.61+34416.05</f>
        <v>350133.66</v>
      </c>
      <c r="S60" s="221"/>
      <c r="T60" s="424">
        <v>1133236.29</v>
      </c>
      <c r="U60" s="221"/>
      <c r="V60" s="424">
        <v>1174848.29</v>
      </c>
      <c r="W60" s="221"/>
      <c r="X60" s="424">
        <v>702325.87</v>
      </c>
      <c r="Y60" s="221"/>
      <c r="Z60" s="1139"/>
      <c r="AB60" s="599"/>
      <c r="AC60" s="606">
        <f t="shared" ref="AC60:AC61" si="5">AVERAGE(X60,V60,T60,R60,P60)</f>
        <v>1071890.0220000001</v>
      </c>
    </row>
    <row r="61" spans="1:29" thickBot="1" x14ac:dyDescent="0.25">
      <c r="B61" s="487" t="s">
        <v>62</v>
      </c>
      <c r="C61" s="157"/>
      <c r="D61" s="166">
        <f>536884.16*2</f>
        <v>1073768.32</v>
      </c>
      <c r="E61" s="157"/>
      <c r="F61" s="244">
        <f>587800.8*2</f>
        <v>1175601.6000000001</v>
      </c>
      <c r="G61" s="222"/>
      <c r="H61" s="425">
        <v>1294367.8999999999</v>
      </c>
      <c r="I61" s="222"/>
      <c r="J61" s="383">
        <v>1422123.26</v>
      </c>
      <c r="K61" s="264"/>
      <c r="L61" s="383">
        <v>1418899.34</v>
      </c>
      <c r="M61" s="264"/>
      <c r="N61" s="425">
        <v>1132964.6599999999</v>
      </c>
      <c r="O61" s="222"/>
      <c r="P61" s="425">
        <v>1210627</v>
      </c>
      <c r="Q61" s="222"/>
      <c r="R61" s="425">
        <v>1375215.52</v>
      </c>
      <c r="S61" s="222"/>
      <c r="T61" s="425">
        <v>1326651.68</v>
      </c>
      <c r="U61" s="222"/>
      <c r="V61" s="425">
        <v>1424110.88</v>
      </c>
      <c r="W61" s="222"/>
      <c r="X61" s="425">
        <v>1606386.68</v>
      </c>
      <c r="Y61" s="222"/>
      <c r="Z61" s="1140"/>
      <c r="AB61" s="584"/>
      <c r="AC61" s="593">
        <f t="shared" si="5"/>
        <v>1388598.352</v>
      </c>
    </row>
    <row r="62" spans="1:29" thickTop="1" x14ac:dyDescent="0.2">
      <c r="B62" s="82"/>
      <c r="C62" s="83"/>
      <c r="D62" s="84"/>
      <c r="E62" s="83"/>
      <c r="F62" s="85"/>
      <c r="G62" s="220"/>
      <c r="H62" s="216"/>
      <c r="I62" s="220"/>
      <c r="J62" s="216"/>
      <c r="K62" s="220"/>
      <c r="L62" s="216"/>
      <c r="M62" s="220"/>
      <c r="N62" s="216"/>
      <c r="O62" s="220"/>
      <c r="P62" s="216"/>
      <c r="Q62" s="220"/>
      <c r="R62" s="216"/>
      <c r="S62" s="220"/>
      <c r="T62" s="216"/>
      <c r="U62" s="220"/>
      <c r="V62" s="216"/>
      <c r="W62" s="220"/>
      <c r="X62" s="216"/>
      <c r="Y62" s="220"/>
      <c r="Z62" s="216"/>
    </row>
    <row r="63" spans="1:29" x14ac:dyDescent="0.2">
      <c r="A63" s="3" t="s">
        <v>55</v>
      </c>
      <c r="B63" s="82"/>
      <c r="C63" s="83"/>
      <c r="D63" s="84"/>
      <c r="E63" s="83"/>
      <c r="F63" s="85"/>
      <c r="G63" s="220"/>
      <c r="H63" s="216"/>
      <c r="I63" s="220"/>
      <c r="J63" s="216"/>
      <c r="K63" s="220"/>
      <c r="L63" s="216"/>
      <c r="M63" s="220"/>
      <c r="N63" s="216"/>
      <c r="O63" s="220"/>
      <c r="P63" s="216"/>
      <c r="Q63" s="220"/>
      <c r="R63" s="216"/>
      <c r="S63" s="220"/>
      <c r="T63" s="216"/>
      <c r="U63" s="220"/>
      <c r="V63" s="216"/>
      <c r="W63" s="220"/>
      <c r="X63" s="216"/>
      <c r="Y63" s="220"/>
      <c r="Z63" s="216"/>
    </row>
    <row r="64" spans="1:29" thickBot="1" x14ac:dyDescent="0.25">
      <c r="B64" s="82"/>
      <c r="C64" s="83"/>
      <c r="D64" s="84"/>
      <c r="E64" s="83"/>
      <c r="F64" s="85"/>
      <c r="G64" s="220"/>
      <c r="H64" s="216"/>
      <c r="I64" s="220"/>
      <c r="J64" s="216"/>
      <c r="K64" s="220"/>
      <c r="L64" s="216"/>
      <c r="M64" s="220"/>
      <c r="N64" s="216"/>
      <c r="O64" s="220"/>
      <c r="P64" s="216"/>
      <c r="Q64" s="220"/>
      <c r="R64" s="216"/>
      <c r="S64" s="220"/>
      <c r="T64" s="216"/>
      <c r="U64" s="220"/>
      <c r="V64" s="216"/>
      <c r="W64" s="220"/>
      <c r="X64" s="216"/>
      <c r="Y64" s="220"/>
      <c r="Z64" s="216"/>
    </row>
    <row r="65" spans="2:29" ht="14.25" customHeight="1" thickTop="1" thickBot="1" x14ac:dyDescent="0.25">
      <c r="B65" s="270"/>
      <c r="C65" s="1225" t="s">
        <v>28</v>
      </c>
      <c r="D65" s="1226"/>
      <c r="E65" s="1227" t="s">
        <v>29</v>
      </c>
      <c r="F65" s="1226"/>
      <c r="G65" s="1220" t="s">
        <v>89</v>
      </c>
      <c r="H65" s="1220"/>
      <c r="I65" s="1231" t="s">
        <v>99</v>
      </c>
      <c r="J65" s="1220"/>
      <c r="K65" s="1231" t="s">
        <v>101</v>
      </c>
      <c r="L65" s="1220"/>
      <c r="M65" s="1231" t="s">
        <v>106</v>
      </c>
      <c r="N65" s="1221"/>
      <c r="O65" s="1220" t="s">
        <v>155</v>
      </c>
      <c r="P65" s="1221"/>
      <c r="Q65" s="1220" t="s">
        <v>160</v>
      </c>
      <c r="R65" s="1221"/>
      <c r="S65" s="1220" t="s">
        <v>179</v>
      </c>
      <c r="T65" s="1221"/>
      <c r="U65" s="1220" t="s">
        <v>189</v>
      </c>
      <c r="V65" s="1221"/>
      <c r="W65" s="1220" t="s">
        <v>194</v>
      </c>
      <c r="X65" s="1221"/>
      <c r="Y65" s="1220" t="s">
        <v>198</v>
      </c>
      <c r="Z65" s="1221"/>
      <c r="AB65" s="1250" t="s">
        <v>142</v>
      </c>
      <c r="AC65" s="1251"/>
    </row>
    <row r="66" spans="2:29" ht="12" x14ac:dyDescent="0.2">
      <c r="B66" s="45" t="s">
        <v>33</v>
      </c>
      <c r="C66" s="57"/>
      <c r="D66" s="65"/>
      <c r="E66" s="21"/>
      <c r="F66" s="65"/>
      <c r="G66" s="207"/>
      <c r="H66" s="339"/>
      <c r="I66" s="1216"/>
      <c r="J66" s="1216"/>
      <c r="K66" s="1258"/>
      <c r="L66" s="1216"/>
      <c r="M66" s="1258"/>
      <c r="N66" s="1217"/>
      <c r="O66" s="1216"/>
      <c r="P66" s="1217"/>
      <c r="Q66" s="1216"/>
      <c r="R66" s="1217"/>
      <c r="S66" s="1216"/>
      <c r="T66" s="1217"/>
      <c r="U66" s="1216"/>
      <c r="V66" s="1217"/>
      <c r="W66" s="1216"/>
      <c r="X66" s="1217"/>
      <c r="Y66" s="1216"/>
      <c r="Z66" s="1217"/>
      <c r="AB66" s="583"/>
      <c r="AC66" s="430"/>
    </row>
    <row r="67" spans="2:29" ht="12" x14ac:dyDescent="0.2">
      <c r="B67" s="46" t="s">
        <v>34</v>
      </c>
      <c r="C67" s="58"/>
      <c r="D67" s="168"/>
      <c r="E67" s="20"/>
      <c r="F67" s="237"/>
      <c r="G67" s="208"/>
      <c r="H67" s="340"/>
      <c r="I67" s="208"/>
      <c r="J67" s="313"/>
      <c r="K67" s="228"/>
      <c r="L67" s="313"/>
      <c r="M67" s="228"/>
      <c r="N67" s="340"/>
      <c r="O67" s="208"/>
      <c r="P67" s="340"/>
      <c r="Q67" s="208"/>
      <c r="R67" s="340"/>
      <c r="S67" s="208"/>
      <c r="T67" s="340"/>
      <c r="U67" s="208"/>
      <c r="V67" s="340"/>
      <c r="W67" s="208"/>
      <c r="X67" s="340"/>
      <c r="Y67" s="208"/>
      <c r="Z67" s="340"/>
      <c r="AB67" s="484"/>
      <c r="AC67" s="607"/>
    </row>
    <row r="68" spans="2:29" ht="12" x14ac:dyDescent="0.2">
      <c r="B68" s="47" t="s">
        <v>35</v>
      </c>
      <c r="C68" s="58"/>
      <c r="D68" s="168">
        <v>7</v>
      </c>
      <c r="E68" s="20"/>
      <c r="F68" s="237">
        <v>10</v>
      </c>
      <c r="G68" s="208"/>
      <c r="H68" s="340">
        <v>12</v>
      </c>
      <c r="I68" s="208"/>
      <c r="J68" s="313">
        <v>8</v>
      </c>
      <c r="K68" s="228"/>
      <c r="L68" s="313">
        <v>7</v>
      </c>
      <c r="M68" s="228"/>
      <c r="N68" s="340">
        <v>9</v>
      </c>
      <c r="O68" s="208"/>
      <c r="P68" s="340">
        <v>7</v>
      </c>
      <c r="Q68" s="208"/>
      <c r="R68" s="340">
        <v>5</v>
      </c>
      <c r="S68" s="208"/>
      <c r="T68" s="340">
        <v>6</v>
      </c>
      <c r="U68" s="208"/>
      <c r="V68" s="340">
        <v>4</v>
      </c>
      <c r="W68" s="208"/>
      <c r="X68" s="340">
        <v>11</v>
      </c>
      <c r="Y68" s="208"/>
      <c r="Z68" s="340">
        <v>17</v>
      </c>
      <c r="AB68" s="599"/>
      <c r="AC68" s="608">
        <f t="shared" ref="AC68:AC69" si="6">AVERAGE(X68,V68,T68,R68,Z68)</f>
        <v>8.6</v>
      </c>
    </row>
    <row r="69" spans="2:29" ht="12" x14ac:dyDescent="0.2">
      <c r="B69" s="47" t="s">
        <v>139</v>
      </c>
      <c r="C69" s="58"/>
      <c r="D69" s="168">
        <v>2</v>
      </c>
      <c r="E69" s="20"/>
      <c r="F69" s="237">
        <v>0</v>
      </c>
      <c r="G69" s="208"/>
      <c r="H69" s="340">
        <v>1</v>
      </c>
      <c r="I69" s="208"/>
      <c r="J69" s="313">
        <v>1</v>
      </c>
      <c r="K69" s="228"/>
      <c r="L69" s="313">
        <v>3</v>
      </c>
      <c r="M69" s="228"/>
      <c r="N69" s="340">
        <v>7</v>
      </c>
      <c r="O69" s="208"/>
      <c r="P69" s="340">
        <v>11</v>
      </c>
      <c r="Q69" s="208"/>
      <c r="R69" s="340">
        <v>11</v>
      </c>
      <c r="S69" s="208"/>
      <c r="T69" s="340">
        <v>9</v>
      </c>
      <c r="U69" s="208"/>
      <c r="V69" s="340">
        <v>11</v>
      </c>
      <c r="W69" s="208"/>
      <c r="X69" s="340">
        <v>10</v>
      </c>
      <c r="Y69" s="208"/>
      <c r="Z69" s="340">
        <v>14</v>
      </c>
      <c r="AB69" s="599"/>
      <c r="AC69" s="608">
        <f t="shared" si="6"/>
        <v>11</v>
      </c>
    </row>
    <row r="70" spans="2:29" ht="12" x14ac:dyDescent="0.2">
      <c r="B70" s="46" t="s">
        <v>36</v>
      </c>
      <c r="C70" s="58"/>
      <c r="D70" s="67"/>
      <c r="E70" s="20"/>
      <c r="F70" s="67"/>
      <c r="G70" s="208"/>
      <c r="H70" s="341"/>
      <c r="I70" s="208"/>
      <c r="J70" s="384"/>
      <c r="K70" s="228"/>
      <c r="L70" s="384"/>
      <c r="M70" s="228"/>
      <c r="N70" s="341"/>
      <c r="O70" s="208"/>
      <c r="P70" s="341"/>
      <c r="Q70" s="208"/>
      <c r="R70" s="341"/>
      <c r="S70" s="208"/>
      <c r="T70" s="341"/>
      <c r="U70" s="208"/>
      <c r="V70" s="341"/>
      <c r="W70" s="208"/>
      <c r="X70" s="341"/>
      <c r="Y70" s="208"/>
      <c r="Z70" s="341"/>
      <c r="AB70" s="599"/>
      <c r="AC70" s="608"/>
    </row>
    <row r="71" spans="2:29" ht="12" x14ac:dyDescent="0.2">
      <c r="B71" s="47" t="s">
        <v>35</v>
      </c>
      <c r="C71" s="58"/>
      <c r="D71" s="67">
        <v>0</v>
      </c>
      <c r="E71" s="20"/>
      <c r="F71" s="67">
        <v>1</v>
      </c>
      <c r="G71" s="208"/>
      <c r="H71" s="341">
        <v>2</v>
      </c>
      <c r="I71" s="208"/>
      <c r="J71" s="384">
        <v>2</v>
      </c>
      <c r="K71" s="228"/>
      <c r="L71" s="384">
        <v>2</v>
      </c>
      <c r="M71" s="228"/>
      <c r="N71" s="341">
        <v>3</v>
      </c>
      <c r="O71" s="208"/>
      <c r="P71" s="341">
        <v>4</v>
      </c>
      <c r="Q71" s="208"/>
      <c r="R71" s="341">
        <v>4</v>
      </c>
      <c r="S71" s="208"/>
      <c r="T71" s="341">
        <v>2</v>
      </c>
      <c r="U71" s="208"/>
      <c r="V71" s="341">
        <v>2</v>
      </c>
      <c r="W71" s="208"/>
      <c r="X71" s="341">
        <v>3</v>
      </c>
      <c r="Y71" s="208"/>
      <c r="Z71" s="341">
        <v>5</v>
      </c>
      <c r="AB71" s="599"/>
      <c r="AC71" s="608">
        <f t="shared" ref="AC71:AC73" si="7">AVERAGE(X71,V71,T71,R71,Z71)</f>
        <v>3.2</v>
      </c>
    </row>
    <row r="72" spans="2:29" ht="12" x14ac:dyDescent="0.2">
      <c r="B72" s="283" t="s">
        <v>139</v>
      </c>
      <c r="C72" s="58"/>
      <c r="D72" s="67">
        <v>1</v>
      </c>
      <c r="E72" s="20"/>
      <c r="F72" s="67">
        <v>0</v>
      </c>
      <c r="G72" s="208"/>
      <c r="H72" s="341">
        <v>0</v>
      </c>
      <c r="I72" s="208"/>
      <c r="J72" s="384">
        <v>0</v>
      </c>
      <c r="K72" s="228"/>
      <c r="L72" s="384">
        <v>0</v>
      </c>
      <c r="M72" s="228"/>
      <c r="N72" s="341">
        <v>3</v>
      </c>
      <c r="O72" s="208"/>
      <c r="P72" s="341">
        <v>1</v>
      </c>
      <c r="Q72" s="208"/>
      <c r="R72" s="341">
        <v>1</v>
      </c>
      <c r="S72" s="208"/>
      <c r="T72" s="341">
        <v>1</v>
      </c>
      <c r="U72" s="208"/>
      <c r="V72" s="341">
        <v>1</v>
      </c>
      <c r="W72" s="208"/>
      <c r="X72" s="341">
        <v>2</v>
      </c>
      <c r="Y72" s="208"/>
      <c r="Z72" s="341">
        <v>2</v>
      </c>
      <c r="AB72" s="599"/>
      <c r="AC72" s="608">
        <f t="shared" si="7"/>
        <v>1.4</v>
      </c>
    </row>
    <row r="73" spans="2:29" thickBot="1" x14ac:dyDescent="0.25">
      <c r="B73" s="51" t="s">
        <v>13</v>
      </c>
      <c r="C73" s="170"/>
      <c r="D73" s="183">
        <f>SUM(D68:D72)</f>
        <v>10</v>
      </c>
      <c r="E73" s="89"/>
      <c r="F73" s="183">
        <f>SUM(F68:F72)</f>
        <v>11</v>
      </c>
      <c r="G73" s="223"/>
      <c r="H73" s="342">
        <v>15</v>
      </c>
      <c r="I73" s="223"/>
      <c r="J73" s="307">
        <f>SUM(J68:J72)</f>
        <v>11</v>
      </c>
      <c r="K73" s="301"/>
      <c r="L73" s="307">
        <f>SUM(L68:L72)</f>
        <v>12</v>
      </c>
      <c r="M73" s="301"/>
      <c r="N73" s="342">
        <f>SUM(N68:N72)</f>
        <v>22</v>
      </c>
      <c r="O73" s="223"/>
      <c r="P73" s="342">
        <f>SUM(P68:P72)</f>
        <v>23</v>
      </c>
      <c r="Q73" s="223"/>
      <c r="R73" s="342">
        <f>SUM(R68:R72)</f>
        <v>21</v>
      </c>
      <c r="S73" s="223"/>
      <c r="T73" s="342">
        <f>SUM(T68:T72)</f>
        <v>18</v>
      </c>
      <c r="U73" s="223"/>
      <c r="V73" s="342">
        <f>SUM(V68:V72)</f>
        <v>18</v>
      </c>
      <c r="W73" s="223"/>
      <c r="X73" s="342">
        <f>SUM(X68:X72)</f>
        <v>26</v>
      </c>
      <c r="Y73" s="223"/>
      <c r="Z73" s="342">
        <f>SUM(Z68:Z72)</f>
        <v>38</v>
      </c>
      <c r="AB73" s="583"/>
      <c r="AC73" s="608">
        <f t="shared" si="7"/>
        <v>24.2</v>
      </c>
    </row>
    <row r="74" spans="2:29" thickTop="1" x14ac:dyDescent="0.2">
      <c r="B74" s="524" t="s">
        <v>84</v>
      </c>
      <c r="C74" s="56" t="s">
        <v>82</v>
      </c>
      <c r="D74" s="171" t="s">
        <v>83</v>
      </c>
      <c r="E74" s="113" t="s">
        <v>82</v>
      </c>
      <c r="F74" s="189" t="s">
        <v>83</v>
      </c>
      <c r="G74" s="224" t="s">
        <v>82</v>
      </c>
      <c r="H74" s="343" t="s">
        <v>83</v>
      </c>
      <c r="I74" s="224" t="s">
        <v>82</v>
      </c>
      <c r="J74" s="385" t="s">
        <v>83</v>
      </c>
      <c r="K74" s="489" t="s">
        <v>82</v>
      </c>
      <c r="L74" s="343" t="s">
        <v>83</v>
      </c>
      <c r="M74" s="224" t="s">
        <v>82</v>
      </c>
      <c r="N74" s="343" t="s">
        <v>83</v>
      </c>
      <c r="O74" s="224" t="s">
        <v>82</v>
      </c>
      <c r="P74" s="343" t="s">
        <v>83</v>
      </c>
      <c r="Q74" s="224" t="s">
        <v>82</v>
      </c>
      <c r="R74" s="343" t="s">
        <v>83</v>
      </c>
      <c r="S74" s="224" t="s">
        <v>82</v>
      </c>
      <c r="T74" s="343" t="s">
        <v>83</v>
      </c>
      <c r="U74" s="224" t="s">
        <v>82</v>
      </c>
      <c r="V74" s="343" t="s">
        <v>83</v>
      </c>
      <c r="W74" s="224" t="s">
        <v>82</v>
      </c>
      <c r="X74" s="343" t="s">
        <v>83</v>
      </c>
      <c r="Y74" s="224" t="s">
        <v>82</v>
      </c>
      <c r="Z74" s="343" t="s">
        <v>83</v>
      </c>
      <c r="AB74" s="610" t="s">
        <v>82</v>
      </c>
      <c r="AC74" s="611" t="s">
        <v>83</v>
      </c>
    </row>
    <row r="75" spans="2:29" ht="12" x14ac:dyDescent="0.2">
      <c r="B75" s="47" t="s">
        <v>66</v>
      </c>
      <c r="C75" s="172">
        <v>8</v>
      </c>
      <c r="D75" s="173">
        <f>C75/D$73</f>
        <v>0.8</v>
      </c>
      <c r="E75" s="114">
        <v>9</v>
      </c>
      <c r="F75" s="190">
        <f t="shared" ref="F75:H82" si="8">E75/F$73</f>
        <v>0.81818181818181823</v>
      </c>
      <c r="G75" s="114">
        <v>13</v>
      </c>
      <c r="H75" s="190">
        <f t="shared" si="8"/>
        <v>0.8666666666666667</v>
      </c>
      <c r="I75" s="114">
        <v>8</v>
      </c>
      <c r="J75" s="179">
        <f t="shared" ref="J75:L82" si="9">I75/J$73</f>
        <v>0.72727272727272729</v>
      </c>
      <c r="K75" s="172">
        <v>11</v>
      </c>
      <c r="L75" s="179">
        <f t="shared" si="9"/>
        <v>0.91666666666666663</v>
      </c>
      <c r="M75" s="172">
        <v>18</v>
      </c>
      <c r="N75" s="190">
        <f>M75/N$73</f>
        <v>0.81818181818181823</v>
      </c>
      <c r="O75" s="114">
        <v>17</v>
      </c>
      <c r="P75" s="190">
        <f>O75/P$73</f>
        <v>0.73913043478260865</v>
      </c>
      <c r="Q75" s="114">
        <v>17</v>
      </c>
      <c r="R75" s="190">
        <f>Q75/R$73</f>
        <v>0.80952380952380953</v>
      </c>
      <c r="S75" s="114">
        <f>7+8</f>
        <v>15</v>
      </c>
      <c r="T75" s="190">
        <f t="shared" ref="T75:T82" si="10">S75/T$73</f>
        <v>0.83333333333333337</v>
      </c>
      <c r="U75" s="114">
        <f>6+9</f>
        <v>15</v>
      </c>
      <c r="V75" s="190">
        <f t="shared" ref="V75:V82" si="11">U75/V$73</f>
        <v>0.83333333333333337</v>
      </c>
      <c r="W75" s="114">
        <f>11+11</f>
        <v>22</v>
      </c>
      <c r="X75" s="190">
        <f t="shared" ref="X75:X82" si="12">W75/X$73</f>
        <v>0.84615384615384615</v>
      </c>
      <c r="Y75" s="114">
        <v>27</v>
      </c>
      <c r="Z75" s="190">
        <f t="shared" ref="Z75:Z82" si="13">Y75/Z$73</f>
        <v>0.71052631578947367</v>
      </c>
      <c r="AB75" s="612">
        <f t="shared" ref="AB75:AB82" si="14">AVERAGE(W75,U75,S75,Q75,Y75)</f>
        <v>19.2</v>
      </c>
      <c r="AC75" s="613">
        <f>AVERAGE(X75,V75,T75,R75,Z75)</f>
        <v>0.80657412762675906</v>
      </c>
    </row>
    <row r="76" spans="2:29" ht="12" x14ac:dyDescent="0.2">
      <c r="B76" s="70" t="s">
        <v>67</v>
      </c>
      <c r="C76" s="172">
        <v>1</v>
      </c>
      <c r="D76" s="173">
        <f t="shared" ref="D76:D94" si="15">C76/$D$73</f>
        <v>0.1</v>
      </c>
      <c r="E76" s="114">
        <v>0</v>
      </c>
      <c r="F76" s="190">
        <f t="shared" si="8"/>
        <v>0</v>
      </c>
      <c r="G76" s="114">
        <v>0</v>
      </c>
      <c r="H76" s="190">
        <f t="shared" si="8"/>
        <v>0</v>
      </c>
      <c r="I76" s="114">
        <v>0</v>
      </c>
      <c r="J76" s="179">
        <f t="shared" si="9"/>
        <v>0</v>
      </c>
      <c r="K76" s="172">
        <v>0</v>
      </c>
      <c r="L76" s="179">
        <f t="shared" si="9"/>
        <v>0</v>
      </c>
      <c r="M76" s="172">
        <v>0</v>
      </c>
      <c r="N76" s="190">
        <f t="shared" ref="N76:R82" si="16">M76/N$73</f>
        <v>0</v>
      </c>
      <c r="O76" s="114">
        <v>0</v>
      </c>
      <c r="P76" s="190">
        <f t="shared" si="16"/>
        <v>0</v>
      </c>
      <c r="Q76" s="114">
        <v>0</v>
      </c>
      <c r="R76" s="190">
        <f t="shared" si="16"/>
        <v>0</v>
      </c>
      <c r="S76" s="114">
        <f>0</f>
        <v>0</v>
      </c>
      <c r="T76" s="190">
        <f t="shared" si="10"/>
        <v>0</v>
      </c>
      <c r="U76" s="114">
        <v>0</v>
      </c>
      <c r="V76" s="190">
        <f t="shared" si="11"/>
        <v>0</v>
      </c>
      <c r="W76" s="114">
        <v>1</v>
      </c>
      <c r="X76" s="190">
        <f t="shared" si="12"/>
        <v>3.8461538461538464E-2</v>
      </c>
      <c r="Y76" s="114">
        <v>5</v>
      </c>
      <c r="Z76" s="190">
        <f t="shared" si="13"/>
        <v>0.13157894736842105</v>
      </c>
      <c r="AB76" s="612">
        <f t="shared" si="14"/>
        <v>1.2</v>
      </c>
      <c r="AC76" s="613">
        <f t="shared" ref="AC76:AC82" si="17">AVERAGE(X76,V76,T76,R76,Z76)</f>
        <v>3.4008097165991902E-2</v>
      </c>
    </row>
    <row r="77" spans="2:29" ht="12" x14ac:dyDescent="0.2">
      <c r="B77" s="70" t="s">
        <v>68</v>
      </c>
      <c r="C77" s="172">
        <v>1</v>
      </c>
      <c r="D77" s="173">
        <f t="shared" si="15"/>
        <v>0.1</v>
      </c>
      <c r="E77" s="114">
        <v>2</v>
      </c>
      <c r="F77" s="190">
        <f t="shared" si="8"/>
        <v>0.18181818181818182</v>
      </c>
      <c r="G77" s="114">
        <v>1</v>
      </c>
      <c r="H77" s="190">
        <f t="shared" si="8"/>
        <v>6.6666666666666666E-2</v>
      </c>
      <c r="I77" s="114">
        <v>2</v>
      </c>
      <c r="J77" s="179">
        <f t="shared" si="9"/>
        <v>0.18181818181818182</v>
      </c>
      <c r="K77" s="172">
        <v>0</v>
      </c>
      <c r="L77" s="179">
        <f t="shared" si="9"/>
        <v>0</v>
      </c>
      <c r="M77" s="172">
        <v>2</v>
      </c>
      <c r="N77" s="190">
        <f t="shared" si="16"/>
        <v>9.0909090909090912E-2</v>
      </c>
      <c r="O77" s="114">
        <v>5</v>
      </c>
      <c r="P77" s="190">
        <f t="shared" si="16"/>
        <v>0.21739130434782608</v>
      </c>
      <c r="Q77" s="114">
        <v>2</v>
      </c>
      <c r="R77" s="190">
        <f t="shared" si="16"/>
        <v>9.5238095238095233E-2</v>
      </c>
      <c r="S77" s="114">
        <f>2</f>
        <v>2</v>
      </c>
      <c r="T77" s="190">
        <f t="shared" si="10"/>
        <v>0.1111111111111111</v>
      </c>
      <c r="U77" s="114">
        <v>2</v>
      </c>
      <c r="V77" s="190">
        <f t="shared" si="11"/>
        <v>0.1111111111111111</v>
      </c>
      <c r="W77" s="114">
        <v>2</v>
      </c>
      <c r="X77" s="190">
        <f t="shared" si="12"/>
        <v>7.6923076923076927E-2</v>
      </c>
      <c r="Y77" s="114">
        <v>4</v>
      </c>
      <c r="Z77" s="190">
        <f t="shared" si="13"/>
        <v>0.10526315789473684</v>
      </c>
      <c r="AB77" s="594">
        <f t="shared" si="14"/>
        <v>2.4</v>
      </c>
      <c r="AC77" s="613">
        <f t="shared" si="17"/>
        <v>9.9929310455626238E-2</v>
      </c>
    </row>
    <row r="78" spans="2:29" ht="12" x14ac:dyDescent="0.2">
      <c r="B78" s="70" t="s">
        <v>69</v>
      </c>
      <c r="C78" s="172">
        <v>0</v>
      </c>
      <c r="D78" s="173">
        <f t="shared" si="15"/>
        <v>0</v>
      </c>
      <c r="E78" s="114">
        <v>0</v>
      </c>
      <c r="F78" s="190">
        <f t="shared" si="8"/>
        <v>0</v>
      </c>
      <c r="G78" s="114">
        <v>0</v>
      </c>
      <c r="H78" s="190">
        <f t="shared" si="8"/>
        <v>0</v>
      </c>
      <c r="I78" s="114">
        <v>0</v>
      </c>
      <c r="J78" s="179">
        <f t="shared" si="9"/>
        <v>0</v>
      </c>
      <c r="K78" s="172">
        <v>0</v>
      </c>
      <c r="L78" s="179">
        <f t="shared" si="9"/>
        <v>0</v>
      </c>
      <c r="M78" s="172">
        <v>0</v>
      </c>
      <c r="N78" s="190">
        <f t="shared" si="16"/>
        <v>0</v>
      </c>
      <c r="O78" s="114">
        <v>0</v>
      </c>
      <c r="P78" s="190">
        <f t="shared" si="16"/>
        <v>0</v>
      </c>
      <c r="Q78" s="114">
        <v>0</v>
      </c>
      <c r="R78" s="190">
        <f t="shared" si="16"/>
        <v>0</v>
      </c>
      <c r="S78" s="114">
        <f>0</f>
        <v>0</v>
      </c>
      <c r="T78" s="190">
        <f t="shared" si="10"/>
        <v>0</v>
      </c>
      <c r="U78" s="114">
        <v>0</v>
      </c>
      <c r="V78" s="190">
        <f t="shared" si="11"/>
        <v>0</v>
      </c>
      <c r="W78" s="114">
        <v>0</v>
      </c>
      <c r="X78" s="190">
        <f t="shared" si="12"/>
        <v>0</v>
      </c>
      <c r="Y78" s="114">
        <v>0</v>
      </c>
      <c r="Z78" s="190">
        <f t="shared" si="13"/>
        <v>0</v>
      </c>
      <c r="AB78" s="1027">
        <f t="shared" si="14"/>
        <v>0</v>
      </c>
      <c r="AC78" s="613">
        <f t="shared" si="17"/>
        <v>0</v>
      </c>
    </row>
    <row r="79" spans="2:29" ht="12" x14ac:dyDescent="0.2">
      <c r="B79" s="70" t="s">
        <v>70</v>
      </c>
      <c r="C79" s="172">
        <v>0</v>
      </c>
      <c r="D79" s="173">
        <f t="shared" si="15"/>
        <v>0</v>
      </c>
      <c r="E79" s="114">
        <v>0</v>
      </c>
      <c r="F79" s="190">
        <f t="shared" si="8"/>
        <v>0</v>
      </c>
      <c r="G79" s="114">
        <v>1</v>
      </c>
      <c r="H79" s="190">
        <f t="shared" si="8"/>
        <v>6.6666666666666666E-2</v>
      </c>
      <c r="I79" s="114">
        <v>1</v>
      </c>
      <c r="J79" s="179">
        <f t="shared" si="9"/>
        <v>9.0909090909090912E-2</v>
      </c>
      <c r="K79" s="172">
        <v>1</v>
      </c>
      <c r="L79" s="179">
        <f t="shared" si="9"/>
        <v>8.3333333333333329E-2</v>
      </c>
      <c r="M79" s="172">
        <v>2</v>
      </c>
      <c r="N79" s="190">
        <f t="shared" si="16"/>
        <v>9.0909090909090912E-2</v>
      </c>
      <c r="O79" s="114">
        <v>1</v>
      </c>
      <c r="P79" s="190">
        <f t="shared" si="16"/>
        <v>4.3478260869565216E-2</v>
      </c>
      <c r="Q79" s="114">
        <v>1</v>
      </c>
      <c r="R79" s="190">
        <f t="shared" si="16"/>
        <v>4.7619047619047616E-2</v>
      </c>
      <c r="S79" s="114">
        <f>1</f>
        <v>1</v>
      </c>
      <c r="T79" s="190">
        <f t="shared" si="10"/>
        <v>5.5555555555555552E-2</v>
      </c>
      <c r="U79" s="114">
        <v>1</v>
      </c>
      <c r="V79" s="190">
        <f t="shared" si="11"/>
        <v>5.5555555555555552E-2</v>
      </c>
      <c r="W79" s="114">
        <v>1</v>
      </c>
      <c r="X79" s="190">
        <f t="shared" si="12"/>
        <v>3.8461538461538464E-2</v>
      </c>
      <c r="Y79" s="114">
        <v>1</v>
      </c>
      <c r="Z79" s="190">
        <f t="shared" si="13"/>
        <v>2.6315789473684209E-2</v>
      </c>
      <c r="AB79" s="612">
        <f t="shared" si="14"/>
        <v>1</v>
      </c>
      <c r="AC79" s="613">
        <f t="shared" si="17"/>
        <v>4.4701497333076282E-2</v>
      </c>
    </row>
    <row r="80" spans="2:29" ht="12" x14ac:dyDescent="0.2">
      <c r="B80" s="70" t="s">
        <v>71</v>
      </c>
      <c r="C80" s="172">
        <v>0</v>
      </c>
      <c r="D80" s="173">
        <f t="shared" si="15"/>
        <v>0</v>
      </c>
      <c r="E80" s="114">
        <v>0</v>
      </c>
      <c r="F80" s="190">
        <f t="shared" si="8"/>
        <v>0</v>
      </c>
      <c r="G80" s="114">
        <v>0</v>
      </c>
      <c r="H80" s="190">
        <f t="shared" si="8"/>
        <v>0</v>
      </c>
      <c r="I80" s="114">
        <v>0</v>
      </c>
      <c r="J80" s="179">
        <f t="shared" si="9"/>
        <v>0</v>
      </c>
      <c r="K80" s="172">
        <v>0</v>
      </c>
      <c r="L80" s="179">
        <f t="shared" si="9"/>
        <v>0</v>
      </c>
      <c r="M80" s="172">
        <v>0</v>
      </c>
      <c r="N80" s="190">
        <f t="shared" si="16"/>
        <v>0</v>
      </c>
      <c r="O80" s="114">
        <v>0</v>
      </c>
      <c r="P80" s="190">
        <f t="shared" si="16"/>
        <v>0</v>
      </c>
      <c r="Q80" s="114">
        <v>0</v>
      </c>
      <c r="R80" s="190">
        <f t="shared" si="16"/>
        <v>0</v>
      </c>
      <c r="S80" s="114">
        <f>0</f>
        <v>0</v>
      </c>
      <c r="T80" s="190">
        <f t="shared" si="10"/>
        <v>0</v>
      </c>
      <c r="U80" s="114">
        <v>0</v>
      </c>
      <c r="V80" s="190">
        <f t="shared" si="11"/>
        <v>0</v>
      </c>
      <c r="W80" s="114">
        <v>0</v>
      </c>
      <c r="X80" s="190">
        <f t="shared" si="12"/>
        <v>0</v>
      </c>
      <c r="Y80" s="114">
        <v>0</v>
      </c>
      <c r="Z80" s="190">
        <f t="shared" si="13"/>
        <v>0</v>
      </c>
      <c r="AB80" s="612">
        <f t="shared" si="14"/>
        <v>0</v>
      </c>
      <c r="AC80" s="613">
        <f t="shared" si="17"/>
        <v>0</v>
      </c>
    </row>
    <row r="81" spans="1:42" ht="12" x14ac:dyDescent="0.2">
      <c r="B81" s="70" t="s">
        <v>170</v>
      </c>
      <c r="C81" s="174"/>
      <c r="D81" s="173"/>
      <c r="E81" s="115"/>
      <c r="F81" s="190"/>
      <c r="G81" s="1083"/>
      <c r="H81" s="1084"/>
      <c r="I81" s="1083"/>
      <c r="J81" s="1085"/>
      <c r="K81" s="1086"/>
      <c r="L81" s="1085"/>
      <c r="M81" s="1086"/>
      <c r="N81" s="1084"/>
      <c r="O81" s="1083"/>
      <c r="P81" s="1084"/>
      <c r="Q81" s="115">
        <v>1</v>
      </c>
      <c r="R81" s="190">
        <f t="shared" si="16"/>
        <v>4.7619047619047616E-2</v>
      </c>
      <c r="S81" s="115">
        <f>0</f>
        <v>0</v>
      </c>
      <c r="T81" s="190">
        <f t="shared" si="10"/>
        <v>0</v>
      </c>
      <c r="U81" s="115">
        <v>0</v>
      </c>
      <c r="V81" s="190">
        <f t="shared" si="11"/>
        <v>0</v>
      </c>
      <c r="W81" s="115">
        <v>0</v>
      </c>
      <c r="X81" s="190">
        <f t="shared" si="12"/>
        <v>0</v>
      </c>
      <c r="Y81" s="115">
        <v>1</v>
      </c>
      <c r="Z81" s="190">
        <f t="shared" si="13"/>
        <v>2.6315789473684209E-2</v>
      </c>
      <c r="AB81" s="594">
        <f t="shared" si="14"/>
        <v>0.4</v>
      </c>
      <c r="AC81" s="613">
        <f t="shared" si="17"/>
        <v>1.4786967418546366E-2</v>
      </c>
    </row>
    <row r="82" spans="1:42" ht="12" x14ac:dyDescent="0.2">
      <c r="B82" s="70" t="s">
        <v>72</v>
      </c>
      <c r="C82" s="174">
        <v>0</v>
      </c>
      <c r="D82" s="173">
        <f t="shared" si="15"/>
        <v>0</v>
      </c>
      <c r="E82" s="115">
        <v>0</v>
      </c>
      <c r="F82" s="190">
        <f t="shared" si="8"/>
        <v>0</v>
      </c>
      <c r="G82" s="115">
        <v>0</v>
      </c>
      <c r="H82" s="190">
        <f t="shared" si="8"/>
        <v>0</v>
      </c>
      <c r="I82" s="115">
        <v>0</v>
      </c>
      <c r="J82" s="179">
        <f t="shared" si="9"/>
        <v>0</v>
      </c>
      <c r="K82" s="174">
        <v>0</v>
      </c>
      <c r="L82" s="179">
        <f t="shared" si="9"/>
        <v>0</v>
      </c>
      <c r="M82" s="174">
        <v>0</v>
      </c>
      <c r="N82" s="190">
        <f t="shared" si="16"/>
        <v>0</v>
      </c>
      <c r="O82" s="115">
        <v>1</v>
      </c>
      <c r="P82" s="190">
        <f t="shared" si="16"/>
        <v>4.3478260869565216E-2</v>
      </c>
      <c r="Q82" s="115">
        <v>0</v>
      </c>
      <c r="R82" s="190">
        <f t="shared" si="16"/>
        <v>0</v>
      </c>
      <c r="S82" s="115">
        <f>0</f>
        <v>0</v>
      </c>
      <c r="T82" s="190">
        <f t="shared" si="10"/>
        <v>0</v>
      </c>
      <c r="U82" s="115">
        <v>0</v>
      </c>
      <c r="V82" s="190">
        <f t="shared" si="11"/>
        <v>0</v>
      </c>
      <c r="W82" s="115">
        <v>0</v>
      </c>
      <c r="X82" s="190">
        <f t="shared" si="12"/>
        <v>0</v>
      </c>
      <c r="Y82" s="115">
        <v>0</v>
      </c>
      <c r="Z82" s="190">
        <f t="shared" si="13"/>
        <v>0</v>
      </c>
      <c r="AB82" s="612">
        <f t="shared" si="14"/>
        <v>0</v>
      </c>
      <c r="AC82" s="613">
        <f t="shared" si="17"/>
        <v>0</v>
      </c>
    </row>
    <row r="83" spans="1:42" ht="12" x14ac:dyDescent="0.2">
      <c r="B83" s="287" t="s">
        <v>85</v>
      </c>
      <c r="C83" s="175"/>
      <c r="D83" s="173"/>
      <c r="E83" s="185"/>
      <c r="F83" s="245"/>
      <c r="G83" s="185"/>
      <c r="H83" s="245"/>
      <c r="I83" s="185"/>
      <c r="J83" s="299"/>
      <c r="K83" s="303"/>
      <c r="L83" s="299"/>
      <c r="M83" s="303"/>
      <c r="N83" s="245"/>
      <c r="O83" s="185"/>
      <c r="P83" s="245"/>
      <c r="Q83" s="185"/>
      <c r="R83" s="245"/>
      <c r="S83" s="185"/>
      <c r="T83" s="245"/>
      <c r="U83" s="185"/>
      <c r="V83" s="245"/>
      <c r="W83" s="185"/>
      <c r="X83" s="245"/>
      <c r="Y83" s="185"/>
      <c r="Z83" s="245"/>
      <c r="AB83" s="612"/>
      <c r="AC83" s="613"/>
    </row>
    <row r="84" spans="1:42" ht="12" x14ac:dyDescent="0.2">
      <c r="B84" s="47" t="s">
        <v>73</v>
      </c>
      <c r="C84" s="188">
        <v>4</v>
      </c>
      <c r="D84" s="173">
        <f t="shared" si="15"/>
        <v>0.4</v>
      </c>
      <c r="E84" s="116">
        <v>4</v>
      </c>
      <c r="F84" s="246">
        <f>E84/F$73</f>
        <v>0.36363636363636365</v>
      </c>
      <c r="G84" s="313">
        <v>3</v>
      </c>
      <c r="H84" s="246">
        <f>G84/H$73</f>
        <v>0.2</v>
      </c>
      <c r="I84" s="313">
        <v>0</v>
      </c>
      <c r="J84" s="179">
        <f>I84/J$73</f>
        <v>0</v>
      </c>
      <c r="K84" s="188">
        <v>12</v>
      </c>
      <c r="L84" s="179">
        <f>K84/L$73</f>
        <v>1</v>
      </c>
      <c r="M84" s="188">
        <v>7</v>
      </c>
      <c r="N84" s="190">
        <f>M84/N$73</f>
        <v>0.31818181818181818</v>
      </c>
      <c r="O84" s="313">
        <v>2</v>
      </c>
      <c r="P84" s="190">
        <f>O84/P$73</f>
        <v>8.6956521739130432E-2</v>
      </c>
      <c r="Q84" s="313">
        <v>1</v>
      </c>
      <c r="R84" s="190">
        <f>Q84/R$73</f>
        <v>4.7619047619047616E-2</v>
      </c>
      <c r="S84" s="313">
        <f>1+1</f>
        <v>2</v>
      </c>
      <c r="T84" s="190">
        <f>S84/T$73</f>
        <v>0.1111111111111111</v>
      </c>
      <c r="U84" s="313">
        <v>4</v>
      </c>
      <c r="V84" s="190">
        <f>U84/V$73</f>
        <v>0.22222222222222221</v>
      </c>
      <c r="W84" s="313">
        <f>3+4</f>
        <v>7</v>
      </c>
      <c r="X84" s="190">
        <f>W84/X$73</f>
        <v>0.26923076923076922</v>
      </c>
      <c r="Y84" s="313">
        <v>7</v>
      </c>
      <c r="Z84" s="190">
        <f>Y84/Z$73</f>
        <v>0.18421052631578946</v>
      </c>
      <c r="AB84" s="594">
        <f t="shared" ref="AB84:AB85" si="18">AVERAGE(W84,U84,S84,Q84,Y84)</f>
        <v>4.2</v>
      </c>
      <c r="AC84" s="613">
        <f t="shared" ref="AC84:AC85" si="19">AVERAGE(X84,V84,T84,R84,Z84)</f>
        <v>0.16687873529978792</v>
      </c>
    </row>
    <row r="85" spans="1:42" ht="12" x14ac:dyDescent="0.2">
      <c r="B85" s="47" t="s">
        <v>74</v>
      </c>
      <c r="C85" s="188">
        <v>6</v>
      </c>
      <c r="D85" s="173">
        <f t="shared" si="15"/>
        <v>0.6</v>
      </c>
      <c r="E85" s="182">
        <v>7</v>
      </c>
      <c r="F85" s="246">
        <f>E85/F$73</f>
        <v>0.63636363636363635</v>
      </c>
      <c r="G85" s="181">
        <v>12</v>
      </c>
      <c r="H85" s="246">
        <f>G85/H$73</f>
        <v>0.8</v>
      </c>
      <c r="I85" s="181">
        <v>11</v>
      </c>
      <c r="J85" s="179">
        <f>I85/J$73</f>
        <v>1</v>
      </c>
      <c r="K85" s="191">
        <v>0</v>
      </c>
      <c r="L85" s="179">
        <f>K85/L$73</f>
        <v>0</v>
      </c>
      <c r="M85" s="191">
        <v>15</v>
      </c>
      <c r="N85" s="190">
        <f>M85/N$73</f>
        <v>0.68181818181818177</v>
      </c>
      <c r="O85" s="181">
        <v>21</v>
      </c>
      <c r="P85" s="190">
        <f>O85/P$73</f>
        <v>0.91304347826086951</v>
      </c>
      <c r="Q85" s="181">
        <v>20</v>
      </c>
      <c r="R85" s="190">
        <f>Q85/R$73</f>
        <v>0.95238095238095233</v>
      </c>
      <c r="S85" s="181">
        <f>7+9</f>
        <v>16</v>
      </c>
      <c r="T85" s="190">
        <f>S85/T$73</f>
        <v>0.88888888888888884</v>
      </c>
      <c r="U85" s="181">
        <v>14</v>
      </c>
      <c r="V85" s="190">
        <f>U85/V$73</f>
        <v>0.77777777777777779</v>
      </c>
      <c r="W85" s="181">
        <v>19</v>
      </c>
      <c r="X85" s="190">
        <f>W85/X$73</f>
        <v>0.73076923076923073</v>
      </c>
      <c r="Y85" s="181">
        <v>31</v>
      </c>
      <c r="Z85" s="190">
        <f>Y85/Z$73</f>
        <v>0.81578947368421051</v>
      </c>
      <c r="AB85" s="612">
        <f t="shared" si="18"/>
        <v>20</v>
      </c>
      <c r="AC85" s="613">
        <f t="shared" si="19"/>
        <v>0.83312126470021197</v>
      </c>
    </row>
    <row r="86" spans="1:42" ht="12" x14ac:dyDescent="0.2">
      <c r="B86" s="287" t="s">
        <v>86</v>
      </c>
      <c r="C86" s="176"/>
      <c r="D86" s="173"/>
      <c r="E86" s="186"/>
      <c r="F86" s="246"/>
      <c r="G86" s="225"/>
      <c r="H86" s="246"/>
      <c r="I86" s="225"/>
      <c r="J86" s="179"/>
      <c r="K86" s="304"/>
      <c r="L86" s="179"/>
      <c r="M86" s="304"/>
      <c r="N86" s="190"/>
      <c r="O86" s="225"/>
      <c r="P86" s="190"/>
      <c r="Q86" s="225"/>
      <c r="R86" s="190"/>
      <c r="S86" s="225"/>
      <c r="T86" s="190"/>
      <c r="U86" s="225"/>
      <c r="V86" s="190"/>
      <c r="W86" s="225"/>
      <c r="X86" s="190"/>
      <c r="Y86" s="225"/>
      <c r="Z86" s="190"/>
      <c r="AB86" s="594"/>
      <c r="AC86" s="613"/>
    </row>
    <row r="87" spans="1:42" ht="12" x14ac:dyDescent="0.2">
      <c r="B87" s="47" t="s">
        <v>75</v>
      </c>
      <c r="C87" s="184">
        <v>4</v>
      </c>
      <c r="D87" s="173">
        <f t="shared" si="15"/>
        <v>0.4</v>
      </c>
      <c r="E87" s="182">
        <v>3</v>
      </c>
      <c r="F87" s="246">
        <f>E87/F$73</f>
        <v>0.27272727272727271</v>
      </c>
      <c r="G87" s="181">
        <v>2</v>
      </c>
      <c r="H87" s="246">
        <f>G87/H$73</f>
        <v>0.13333333333333333</v>
      </c>
      <c r="I87" s="181">
        <v>0</v>
      </c>
      <c r="J87" s="179">
        <f>I87/J$73</f>
        <v>0</v>
      </c>
      <c r="K87" s="191">
        <v>0</v>
      </c>
      <c r="L87" s="179">
        <f>K87/L$73</f>
        <v>0</v>
      </c>
      <c r="M87" s="191">
        <v>4</v>
      </c>
      <c r="N87" s="190">
        <f>M87/N$73</f>
        <v>0.18181818181818182</v>
      </c>
      <c r="O87" s="181">
        <v>3</v>
      </c>
      <c r="P87" s="190">
        <f>O87/P$73</f>
        <v>0.13043478260869565</v>
      </c>
      <c r="Q87" s="181">
        <v>3</v>
      </c>
      <c r="R87" s="190">
        <f>Q87/R$73</f>
        <v>0.14285714285714285</v>
      </c>
      <c r="S87" s="181">
        <f>2+2</f>
        <v>4</v>
      </c>
      <c r="T87" s="190">
        <f>S87/T$73</f>
        <v>0.22222222222222221</v>
      </c>
      <c r="U87" s="181">
        <v>5</v>
      </c>
      <c r="V87" s="190">
        <f>U87/V$73</f>
        <v>0.27777777777777779</v>
      </c>
      <c r="W87" s="181">
        <f>3+3</f>
        <v>6</v>
      </c>
      <c r="X87" s="190">
        <f>W87/X$73</f>
        <v>0.23076923076923078</v>
      </c>
      <c r="Y87" s="181">
        <v>6</v>
      </c>
      <c r="Z87" s="190">
        <f>Y87/Z$73</f>
        <v>0.15789473684210525</v>
      </c>
      <c r="AB87" s="1027">
        <f t="shared" ref="AB87:AB89" si="20">AVERAGE(W87,U87,S87,Q87,Y87)</f>
        <v>4.8</v>
      </c>
      <c r="AC87" s="613">
        <f t="shared" ref="AC87:AC89" si="21">AVERAGE(X87,V87,T87,R87,Z87)</f>
        <v>0.20630422209369578</v>
      </c>
    </row>
    <row r="88" spans="1:42" ht="12" x14ac:dyDescent="0.2">
      <c r="B88" s="47" t="s">
        <v>76</v>
      </c>
      <c r="C88" s="184">
        <v>3</v>
      </c>
      <c r="D88" s="173">
        <f t="shared" si="15"/>
        <v>0.3</v>
      </c>
      <c r="E88" s="182">
        <v>0</v>
      </c>
      <c r="F88" s="246">
        <f>E88/F$73</f>
        <v>0</v>
      </c>
      <c r="G88" s="181">
        <v>0</v>
      </c>
      <c r="H88" s="246">
        <f>G88/H$73</f>
        <v>0</v>
      </c>
      <c r="I88" s="181">
        <v>0</v>
      </c>
      <c r="J88" s="179">
        <f>I88/J$73</f>
        <v>0</v>
      </c>
      <c r="K88" s="191">
        <v>0</v>
      </c>
      <c r="L88" s="179">
        <f>K88/L$73</f>
        <v>0</v>
      </c>
      <c r="M88" s="191">
        <v>0</v>
      </c>
      <c r="N88" s="190">
        <f>M88/N$73</f>
        <v>0</v>
      </c>
      <c r="O88" s="181">
        <v>0</v>
      </c>
      <c r="P88" s="190">
        <f>O88/P$73</f>
        <v>0</v>
      </c>
      <c r="Q88" s="181">
        <v>0</v>
      </c>
      <c r="R88" s="190">
        <f>Q88/R$73</f>
        <v>0</v>
      </c>
      <c r="S88" s="181">
        <f>0</f>
        <v>0</v>
      </c>
      <c r="T88" s="190">
        <f>S88/T$73</f>
        <v>0</v>
      </c>
      <c r="U88" s="181">
        <v>0</v>
      </c>
      <c r="V88" s="190">
        <f>U88/V$73</f>
        <v>0</v>
      </c>
      <c r="W88" s="181">
        <v>0</v>
      </c>
      <c r="X88" s="190">
        <f>W88/X$73</f>
        <v>0</v>
      </c>
      <c r="Y88" s="181">
        <v>0</v>
      </c>
      <c r="Z88" s="190">
        <f>Y88/Z$73</f>
        <v>0</v>
      </c>
      <c r="AB88" s="612">
        <f t="shared" si="20"/>
        <v>0</v>
      </c>
      <c r="AC88" s="613">
        <f t="shared" si="21"/>
        <v>0</v>
      </c>
    </row>
    <row r="89" spans="1:42" ht="12" x14ac:dyDescent="0.2">
      <c r="B89" s="47" t="s">
        <v>77</v>
      </c>
      <c r="C89" s="184">
        <v>3</v>
      </c>
      <c r="D89" s="173">
        <f t="shared" si="15"/>
        <v>0.3</v>
      </c>
      <c r="E89" s="182">
        <v>8</v>
      </c>
      <c r="F89" s="246">
        <f>E89/F$73</f>
        <v>0.72727272727272729</v>
      </c>
      <c r="G89" s="181">
        <v>13</v>
      </c>
      <c r="H89" s="246">
        <f>G89/H$73</f>
        <v>0.8666666666666667</v>
      </c>
      <c r="I89" s="181">
        <v>11</v>
      </c>
      <c r="J89" s="179">
        <f>I89/J$73</f>
        <v>1</v>
      </c>
      <c r="K89" s="191">
        <v>12</v>
      </c>
      <c r="L89" s="179">
        <f>K89/L$73</f>
        <v>1</v>
      </c>
      <c r="M89" s="191">
        <v>18</v>
      </c>
      <c r="N89" s="190">
        <f>M89/N$73</f>
        <v>0.81818181818181823</v>
      </c>
      <c r="O89" s="181">
        <v>20</v>
      </c>
      <c r="P89" s="190">
        <f>O89/P$73</f>
        <v>0.86956521739130432</v>
      </c>
      <c r="Q89" s="181">
        <v>18</v>
      </c>
      <c r="R89" s="190">
        <f>Q89/R$73</f>
        <v>0.8571428571428571</v>
      </c>
      <c r="S89" s="181">
        <f>6+8</f>
        <v>14</v>
      </c>
      <c r="T89" s="190">
        <f>S89/T$73</f>
        <v>0.77777777777777779</v>
      </c>
      <c r="U89" s="181">
        <v>13</v>
      </c>
      <c r="V89" s="190">
        <f>U89/V$73</f>
        <v>0.72222222222222221</v>
      </c>
      <c r="W89" s="181">
        <f>9+11</f>
        <v>20</v>
      </c>
      <c r="X89" s="190">
        <f>W89/X$73</f>
        <v>0.76923076923076927</v>
      </c>
      <c r="Y89" s="181">
        <v>32</v>
      </c>
      <c r="Z89" s="190">
        <f>Y89/Z$73</f>
        <v>0.84210526315789469</v>
      </c>
      <c r="AB89" s="612">
        <f t="shared" si="20"/>
        <v>19.399999999999999</v>
      </c>
      <c r="AC89" s="613">
        <f t="shared" si="21"/>
        <v>0.79369577790630419</v>
      </c>
    </row>
    <row r="90" spans="1:42" ht="12" x14ac:dyDescent="0.2">
      <c r="B90" s="287" t="s">
        <v>87</v>
      </c>
      <c r="C90" s="176"/>
      <c r="D90" s="173"/>
      <c r="E90" s="186"/>
      <c r="F90" s="246"/>
      <c r="G90" s="225"/>
      <c r="H90" s="246"/>
      <c r="I90" s="225"/>
      <c r="J90" s="179"/>
      <c r="K90" s="304"/>
      <c r="L90" s="179"/>
      <c r="M90" s="304"/>
      <c r="N90" s="190"/>
      <c r="O90" s="225"/>
      <c r="P90" s="190"/>
      <c r="Q90" s="225"/>
      <c r="R90" s="190"/>
      <c r="S90" s="225"/>
      <c r="T90" s="190"/>
      <c r="U90" s="225"/>
      <c r="V90" s="190"/>
      <c r="W90" s="225"/>
      <c r="X90" s="190"/>
      <c r="Y90" s="225"/>
      <c r="Z90" s="190"/>
      <c r="AB90" s="612"/>
      <c r="AC90" s="613"/>
    </row>
    <row r="91" spans="1:42" ht="12" x14ac:dyDescent="0.2">
      <c r="B91" s="47" t="s">
        <v>78</v>
      </c>
      <c r="C91" s="184">
        <v>6</v>
      </c>
      <c r="D91" s="173">
        <f t="shared" si="15"/>
        <v>0.6</v>
      </c>
      <c r="E91" s="182">
        <v>3</v>
      </c>
      <c r="F91" s="246">
        <f>E91/F$73</f>
        <v>0.27272727272727271</v>
      </c>
      <c r="G91" s="181">
        <v>4</v>
      </c>
      <c r="H91" s="246">
        <f>G91/H$73</f>
        <v>0.26666666666666666</v>
      </c>
      <c r="I91" s="181">
        <v>2</v>
      </c>
      <c r="J91" s="179">
        <f>I91/J$73</f>
        <v>0.18181818181818182</v>
      </c>
      <c r="K91" s="191">
        <v>3</v>
      </c>
      <c r="L91" s="179">
        <f>K91/L$73</f>
        <v>0.25</v>
      </c>
      <c r="M91" s="191">
        <v>8</v>
      </c>
      <c r="N91" s="190">
        <f>M91/N$73</f>
        <v>0.36363636363636365</v>
      </c>
      <c r="O91" s="181">
        <v>9</v>
      </c>
      <c r="P91" s="190">
        <f>O91/P$73</f>
        <v>0.39130434782608697</v>
      </c>
      <c r="Q91" s="181">
        <v>9</v>
      </c>
      <c r="R91" s="190">
        <f>Q91/R$73</f>
        <v>0.42857142857142855</v>
      </c>
      <c r="S91" s="181">
        <f>3+5</f>
        <v>8</v>
      </c>
      <c r="T91" s="190">
        <f>S91/T$73</f>
        <v>0.44444444444444442</v>
      </c>
      <c r="U91" s="181">
        <v>8</v>
      </c>
      <c r="V91" s="190">
        <f>U91/V$73</f>
        <v>0.44444444444444442</v>
      </c>
      <c r="W91" s="181">
        <f>5+4</f>
        <v>9</v>
      </c>
      <c r="X91" s="190">
        <f>W91/X$73</f>
        <v>0.34615384615384615</v>
      </c>
      <c r="Y91" s="181">
        <v>10</v>
      </c>
      <c r="Z91" s="190">
        <f>Y91/Z$73</f>
        <v>0.26315789473684209</v>
      </c>
      <c r="AB91" s="612">
        <f t="shared" ref="AB91:AB94" si="22">AVERAGE(W91,U91,S91,Q91,Y91)</f>
        <v>8.8000000000000007</v>
      </c>
      <c r="AC91" s="613">
        <f t="shared" ref="AC91:AC94" si="23">AVERAGE(X91,V91,T91,R91,Z91)</f>
        <v>0.38535441167020112</v>
      </c>
    </row>
    <row r="92" spans="1:42" ht="12" x14ac:dyDescent="0.2">
      <c r="B92" s="47" t="s">
        <v>79</v>
      </c>
      <c r="C92" s="184">
        <v>3</v>
      </c>
      <c r="D92" s="173">
        <f t="shared" si="15"/>
        <v>0.3</v>
      </c>
      <c r="E92" s="182">
        <v>6</v>
      </c>
      <c r="F92" s="246">
        <f>E92/F$73</f>
        <v>0.54545454545454541</v>
      </c>
      <c r="G92" s="181">
        <v>9</v>
      </c>
      <c r="H92" s="246">
        <f>G92/H$73</f>
        <v>0.6</v>
      </c>
      <c r="I92" s="181">
        <v>8</v>
      </c>
      <c r="J92" s="179">
        <f>I92/J$73</f>
        <v>0.72727272727272729</v>
      </c>
      <c r="K92" s="191">
        <v>9</v>
      </c>
      <c r="L92" s="179">
        <f>K92/L$73</f>
        <v>0.75</v>
      </c>
      <c r="M92" s="191">
        <v>12</v>
      </c>
      <c r="N92" s="190">
        <f>M92/N$73</f>
        <v>0.54545454545454541</v>
      </c>
      <c r="O92" s="181">
        <v>13</v>
      </c>
      <c r="P92" s="190">
        <f>O92/P$73</f>
        <v>0.56521739130434778</v>
      </c>
      <c r="Q92" s="181">
        <v>10</v>
      </c>
      <c r="R92" s="190">
        <f>Q92/R$73</f>
        <v>0.47619047619047616</v>
      </c>
      <c r="S92" s="181">
        <f>5+4</f>
        <v>9</v>
      </c>
      <c r="T92" s="190">
        <f>S92/T$73</f>
        <v>0.5</v>
      </c>
      <c r="U92" s="181">
        <v>8</v>
      </c>
      <c r="V92" s="190">
        <f>U92/V$73</f>
        <v>0.44444444444444442</v>
      </c>
      <c r="W92" s="181">
        <f>7+9</f>
        <v>16</v>
      </c>
      <c r="X92" s="190">
        <f>W92/X$73</f>
        <v>0.61538461538461542</v>
      </c>
      <c r="Y92" s="181">
        <v>26</v>
      </c>
      <c r="Z92" s="190">
        <f>Y92/Z$73</f>
        <v>0.68421052631578949</v>
      </c>
      <c r="AB92" s="612">
        <f t="shared" si="22"/>
        <v>13.8</v>
      </c>
      <c r="AC92" s="613">
        <f t="shared" si="23"/>
        <v>0.54404601246706508</v>
      </c>
    </row>
    <row r="93" spans="1:42" ht="12" x14ac:dyDescent="0.2">
      <c r="B93" s="47" t="s">
        <v>80</v>
      </c>
      <c r="C93" s="184">
        <v>1</v>
      </c>
      <c r="D93" s="173">
        <f t="shared" si="15"/>
        <v>0.1</v>
      </c>
      <c r="E93" s="182">
        <v>2</v>
      </c>
      <c r="F93" s="246">
        <f>E93/F$73</f>
        <v>0.18181818181818182</v>
      </c>
      <c r="G93" s="181">
        <v>2</v>
      </c>
      <c r="H93" s="246">
        <f>G93/H$73</f>
        <v>0.13333333333333333</v>
      </c>
      <c r="I93" s="181">
        <v>1</v>
      </c>
      <c r="J93" s="179">
        <f>I93/J$73</f>
        <v>9.0909090909090912E-2</v>
      </c>
      <c r="K93" s="191">
        <v>0</v>
      </c>
      <c r="L93" s="179">
        <f>K93/L$73</f>
        <v>0</v>
      </c>
      <c r="M93" s="191">
        <v>2</v>
      </c>
      <c r="N93" s="190">
        <f>M93/N$73</f>
        <v>9.0909090909090912E-2</v>
      </c>
      <c r="O93" s="181">
        <v>1</v>
      </c>
      <c r="P93" s="190">
        <f>O93/P$73</f>
        <v>4.3478260869565216E-2</v>
      </c>
      <c r="Q93" s="181">
        <v>2</v>
      </c>
      <c r="R93" s="190">
        <f>Q93/R$73</f>
        <v>9.5238095238095233E-2</v>
      </c>
      <c r="S93" s="181">
        <f>1</f>
        <v>1</v>
      </c>
      <c r="T93" s="190">
        <f>S93/T$73</f>
        <v>5.5555555555555552E-2</v>
      </c>
      <c r="U93" s="181">
        <v>2</v>
      </c>
      <c r="V93" s="190">
        <f>U93/V$73</f>
        <v>0.1111111111111111</v>
      </c>
      <c r="W93" s="181">
        <v>1</v>
      </c>
      <c r="X93" s="190">
        <f>W93/X$73</f>
        <v>3.8461538461538464E-2</v>
      </c>
      <c r="Y93" s="181">
        <v>2</v>
      </c>
      <c r="Z93" s="190">
        <f>Y93/Z$73</f>
        <v>5.2631578947368418E-2</v>
      </c>
      <c r="AA93" s="430"/>
      <c r="AB93" s="612">
        <f t="shared" si="22"/>
        <v>1.6</v>
      </c>
      <c r="AC93" s="613">
        <f t="shared" si="23"/>
        <v>7.0599575862733757E-2</v>
      </c>
      <c r="AD93" s="583"/>
    </row>
    <row r="94" spans="1:42" thickBot="1" x14ac:dyDescent="0.25">
      <c r="B94" s="519" t="s">
        <v>81</v>
      </c>
      <c r="C94" s="177">
        <v>0</v>
      </c>
      <c r="D94" s="178">
        <f t="shared" si="15"/>
        <v>0</v>
      </c>
      <c r="E94" s="187">
        <v>0</v>
      </c>
      <c r="F94" s="247">
        <f>E94/F$73</f>
        <v>0</v>
      </c>
      <c r="G94" s="198">
        <v>0</v>
      </c>
      <c r="H94" s="247">
        <f>G94/H$73</f>
        <v>0</v>
      </c>
      <c r="I94" s="198">
        <v>0</v>
      </c>
      <c r="J94" s="180">
        <f>I94/J$73</f>
        <v>0</v>
      </c>
      <c r="K94" s="197">
        <v>0</v>
      </c>
      <c r="L94" s="180">
        <f>K94/L$73</f>
        <v>0</v>
      </c>
      <c r="M94" s="197">
        <v>0</v>
      </c>
      <c r="N94" s="761">
        <f>M94/N$73</f>
        <v>0</v>
      </c>
      <c r="O94" s="198">
        <v>0</v>
      </c>
      <c r="P94" s="761">
        <f>O94/P$73</f>
        <v>0</v>
      </c>
      <c r="Q94" s="198">
        <v>0</v>
      </c>
      <c r="R94" s="761">
        <f>Q94/R$73</f>
        <v>0</v>
      </c>
      <c r="S94" s="198">
        <f>0</f>
        <v>0</v>
      </c>
      <c r="T94" s="761">
        <f>S94/T$73</f>
        <v>0</v>
      </c>
      <c r="U94" s="198">
        <v>0</v>
      </c>
      <c r="V94" s="761">
        <f>U94/V$73</f>
        <v>0</v>
      </c>
      <c r="W94" s="198">
        <v>0</v>
      </c>
      <c r="X94" s="761">
        <f>W94/X$73</f>
        <v>0</v>
      </c>
      <c r="Y94" s="198">
        <v>0</v>
      </c>
      <c r="Z94" s="761">
        <f>Y94/Z$73</f>
        <v>0</v>
      </c>
      <c r="AB94" s="558">
        <f t="shared" si="22"/>
        <v>0</v>
      </c>
      <c r="AC94" s="613">
        <f t="shared" si="23"/>
        <v>0</v>
      </c>
    </row>
    <row r="95" spans="1:42" ht="14.25" thickTop="1" thickBot="1" x14ac:dyDescent="0.25">
      <c r="A95" s="430"/>
      <c r="B95" s="512" t="s">
        <v>112</v>
      </c>
      <c r="C95" s="1230" t="s">
        <v>30</v>
      </c>
      <c r="D95" s="1259"/>
      <c r="E95" s="1230" t="s">
        <v>31</v>
      </c>
      <c r="F95" s="1259"/>
      <c r="G95" s="1249" t="s">
        <v>110</v>
      </c>
      <c r="H95" s="1257"/>
      <c r="I95" s="1249" t="s">
        <v>111</v>
      </c>
      <c r="J95" s="1257"/>
      <c r="K95" s="1249" t="s">
        <v>128</v>
      </c>
      <c r="L95" s="1257"/>
      <c r="M95" s="1254" t="s">
        <v>129</v>
      </c>
      <c r="N95" s="1219"/>
      <c r="O95" s="1218" t="s">
        <v>156</v>
      </c>
      <c r="P95" s="1219"/>
      <c r="Q95" s="1218" t="s">
        <v>161</v>
      </c>
      <c r="R95" s="1219"/>
      <c r="S95" s="1218" t="s">
        <v>180</v>
      </c>
      <c r="T95" s="1219"/>
      <c r="U95" s="1218" t="s">
        <v>190</v>
      </c>
      <c r="V95" s="1219"/>
      <c r="W95" s="1218" t="s">
        <v>195</v>
      </c>
      <c r="X95" s="1219"/>
      <c r="Y95" s="1218" t="s">
        <v>199</v>
      </c>
      <c r="Z95" s="1219"/>
      <c r="AA95" s="430"/>
      <c r="AB95" s="1250" t="s">
        <v>142</v>
      </c>
      <c r="AC95" s="1251"/>
      <c r="AD95" s="432"/>
      <c r="AE95" s="432"/>
      <c r="AF95"/>
      <c r="AG95"/>
      <c r="AH95"/>
      <c r="AI95"/>
      <c r="AJ95"/>
      <c r="AK95"/>
      <c r="AL95"/>
      <c r="AM95"/>
      <c r="AN95"/>
      <c r="AO95"/>
      <c r="AP95"/>
    </row>
    <row r="96" spans="1:42" x14ac:dyDescent="0.2">
      <c r="A96" s="430"/>
      <c r="B96" s="513"/>
      <c r="C96" s="514" t="s">
        <v>82</v>
      </c>
      <c r="D96" s="515" t="s">
        <v>17</v>
      </c>
      <c r="E96" s="514" t="s">
        <v>82</v>
      </c>
      <c r="F96" s="515" t="s">
        <v>17</v>
      </c>
      <c r="G96" s="514" t="s">
        <v>82</v>
      </c>
      <c r="H96" s="515" t="s">
        <v>17</v>
      </c>
      <c r="I96" s="514" t="s">
        <v>82</v>
      </c>
      <c r="J96" s="515" t="s">
        <v>17</v>
      </c>
      <c r="K96" s="514" t="s">
        <v>82</v>
      </c>
      <c r="L96" s="515" t="s">
        <v>17</v>
      </c>
      <c r="M96" s="514" t="s">
        <v>82</v>
      </c>
      <c r="N96" s="515" t="s">
        <v>17</v>
      </c>
      <c r="O96" s="514" t="s">
        <v>82</v>
      </c>
      <c r="P96" s="515" t="s">
        <v>17</v>
      </c>
      <c r="Q96" s="751" t="s">
        <v>82</v>
      </c>
      <c r="R96" s="515" t="s">
        <v>17</v>
      </c>
      <c r="S96" s="751" t="s">
        <v>82</v>
      </c>
      <c r="T96" s="515" t="s">
        <v>17</v>
      </c>
      <c r="U96" s="751" t="s">
        <v>82</v>
      </c>
      <c r="V96" s="515" t="s">
        <v>17</v>
      </c>
      <c r="W96" s="751" t="s">
        <v>82</v>
      </c>
      <c r="X96" s="515" t="s">
        <v>17</v>
      </c>
      <c r="Y96" s="751" t="s">
        <v>82</v>
      </c>
      <c r="Z96" s="515" t="s">
        <v>17</v>
      </c>
      <c r="AA96" s="430"/>
      <c r="AB96" s="585" t="s">
        <v>82</v>
      </c>
      <c r="AC96" s="516" t="s">
        <v>17</v>
      </c>
      <c r="AD96" s="432"/>
      <c r="AE96" s="432"/>
      <c r="AF96"/>
      <c r="AG96"/>
      <c r="AH96"/>
      <c r="AI96"/>
      <c r="AJ96"/>
      <c r="AK96"/>
      <c r="AL96"/>
      <c r="AM96"/>
      <c r="AN96"/>
      <c r="AO96"/>
      <c r="AP96"/>
    </row>
    <row r="97" spans="1:42" x14ac:dyDescent="0.2">
      <c r="A97" s="430"/>
      <c r="B97" s="283" t="s">
        <v>113</v>
      </c>
      <c r="C97" s="517">
        <v>7</v>
      </c>
      <c r="D97" s="518">
        <v>3.3</v>
      </c>
      <c r="E97" s="517">
        <v>9</v>
      </c>
      <c r="F97" s="518">
        <v>4.2</v>
      </c>
      <c r="G97" s="517">
        <v>13</v>
      </c>
      <c r="H97" s="518">
        <v>6.5</v>
      </c>
      <c r="I97" s="517">
        <v>10</v>
      </c>
      <c r="J97" s="518">
        <v>5</v>
      </c>
      <c r="K97" s="517">
        <v>9</v>
      </c>
      <c r="L97" s="518">
        <v>4.5</v>
      </c>
      <c r="M97" s="517">
        <v>4</v>
      </c>
      <c r="N97" s="518">
        <v>2</v>
      </c>
      <c r="O97" s="517">
        <v>7</v>
      </c>
      <c r="P97" s="518">
        <v>3.5</v>
      </c>
      <c r="Q97" s="517">
        <v>6</v>
      </c>
      <c r="R97" s="518">
        <v>3</v>
      </c>
      <c r="S97" s="517">
        <v>10</v>
      </c>
      <c r="T97" s="518">
        <v>4.7</v>
      </c>
      <c r="U97" s="517">
        <v>9</v>
      </c>
      <c r="V97" s="518">
        <v>4.5</v>
      </c>
      <c r="W97" s="517">
        <v>6</v>
      </c>
      <c r="X97" s="518">
        <v>3</v>
      </c>
      <c r="Y97" s="517">
        <v>8</v>
      </c>
      <c r="Z97" s="518">
        <v>3.8</v>
      </c>
      <c r="AA97" s="430"/>
      <c r="AB97" s="586">
        <f t="shared" ref="AB97:AB99" si="24">AVERAGE(W97,U97,S97,Q97,Y97)</f>
        <v>7.8</v>
      </c>
      <c r="AC97" s="656">
        <f t="shared" ref="AC97:AC99" si="25">AVERAGE(X97,V97,T97,R97,Z97)</f>
        <v>3.8</v>
      </c>
      <c r="AD97" s="432"/>
      <c r="AE97" s="432"/>
      <c r="AF97"/>
      <c r="AG97"/>
      <c r="AH97"/>
      <c r="AI97"/>
      <c r="AJ97"/>
      <c r="AK97"/>
      <c r="AL97"/>
      <c r="AM97"/>
      <c r="AN97"/>
      <c r="AO97"/>
      <c r="AP97"/>
    </row>
    <row r="98" spans="1:42" x14ac:dyDescent="0.2">
      <c r="A98" s="430"/>
      <c r="B98" s="283" t="s">
        <v>114</v>
      </c>
      <c r="C98" s="517">
        <v>5</v>
      </c>
      <c r="D98" s="518">
        <v>2.5</v>
      </c>
      <c r="E98" s="517">
        <v>7</v>
      </c>
      <c r="F98" s="518">
        <v>3.5</v>
      </c>
      <c r="G98" s="517">
        <v>4</v>
      </c>
      <c r="H98" s="518">
        <v>2</v>
      </c>
      <c r="I98" s="517">
        <v>5</v>
      </c>
      <c r="J98" s="518">
        <v>2.5</v>
      </c>
      <c r="K98" s="517">
        <v>5</v>
      </c>
      <c r="L98" s="518">
        <v>2.5</v>
      </c>
      <c r="M98" s="517">
        <v>4</v>
      </c>
      <c r="N98" s="518">
        <v>2</v>
      </c>
      <c r="O98" s="517">
        <v>4</v>
      </c>
      <c r="P98" s="518">
        <v>2</v>
      </c>
      <c r="Q98" s="517">
        <v>8</v>
      </c>
      <c r="R98" s="518">
        <v>4</v>
      </c>
      <c r="S98" s="517">
        <v>6</v>
      </c>
      <c r="T98" s="518">
        <v>3</v>
      </c>
      <c r="U98" s="517">
        <v>7</v>
      </c>
      <c r="V98" s="518">
        <v>3.5</v>
      </c>
      <c r="W98" s="517">
        <v>7</v>
      </c>
      <c r="X98" s="518">
        <v>3.5</v>
      </c>
      <c r="Y98" s="517">
        <v>5</v>
      </c>
      <c r="Z98" s="518">
        <v>2.5</v>
      </c>
      <c r="AA98" s="430"/>
      <c r="AB98" s="586">
        <f t="shared" si="24"/>
        <v>6.6</v>
      </c>
      <c r="AC98" s="656">
        <f t="shared" si="25"/>
        <v>3.3</v>
      </c>
      <c r="AF98"/>
      <c r="AG98"/>
      <c r="AH98"/>
      <c r="AI98"/>
      <c r="AJ98"/>
      <c r="AK98"/>
      <c r="AL98"/>
      <c r="AM98"/>
      <c r="AN98"/>
      <c r="AO98"/>
      <c r="AP98"/>
    </row>
    <row r="99" spans="1:42" ht="13.5" thickBot="1" x14ac:dyDescent="0.25">
      <c r="A99" s="430"/>
      <c r="B99" s="519" t="s">
        <v>137</v>
      </c>
      <c r="C99" s="581">
        <v>0</v>
      </c>
      <c r="D99" s="520">
        <v>0</v>
      </c>
      <c r="E99" s="582">
        <v>0</v>
      </c>
      <c r="F99" s="520">
        <v>0</v>
      </c>
      <c r="G99" s="582">
        <v>0</v>
      </c>
      <c r="H99" s="520">
        <v>0</v>
      </c>
      <c r="I99" s="582">
        <v>0</v>
      </c>
      <c r="J99" s="520">
        <v>0</v>
      </c>
      <c r="K99" s="582">
        <v>0</v>
      </c>
      <c r="L99" s="520">
        <v>0</v>
      </c>
      <c r="M99" s="582">
        <v>0</v>
      </c>
      <c r="N99" s="520">
        <v>0</v>
      </c>
      <c r="O99" s="582">
        <v>0</v>
      </c>
      <c r="P99" s="520">
        <v>0</v>
      </c>
      <c r="Q99" s="582">
        <v>0</v>
      </c>
      <c r="R99" s="520">
        <v>0</v>
      </c>
      <c r="S99" s="582">
        <v>0</v>
      </c>
      <c r="T99" s="520">
        <v>0</v>
      </c>
      <c r="U99" s="582">
        <v>0</v>
      </c>
      <c r="V99" s="520">
        <v>0</v>
      </c>
      <c r="W99" s="582">
        <v>1</v>
      </c>
      <c r="X99" s="520">
        <v>0.1</v>
      </c>
      <c r="Y99" s="582">
        <v>0</v>
      </c>
      <c r="Z99" s="520">
        <v>0</v>
      </c>
      <c r="AA99" s="430"/>
      <c r="AB99" s="587">
        <f t="shared" si="24"/>
        <v>0.2</v>
      </c>
      <c r="AC99" s="657">
        <f t="shared" si="25"/>
        <v>0.02</v>
      </c>
      <c r="AE99" s="22" t="s">
        <v>20</v>
      </c>
      <c r="AF99"/>
      <c r="AG99"/>
      <c r="AH99"/>
      <c r="AI99"/>
      <c r="AJ99"/>
      <c r="AK99"/>
      <c r="AL99"/>
      <c r="AM99"/>
      <c r="AN99"/>
      <c r="AO99"/>
      <c r="AP99"/>
    </row>
    <row r="100" spans="1:42" customFormat="1" ht="17.25" thickTop="1" thickBot="1" x14ac:dyDescent="0.3">
      <c r="A100" s="521"/>
      <c r="B100" s="522"/>
      <c r="C100" s="1230" t="s">
        <v>30</v>
      </c>
      <c r="D100" s="1259"/>
      <c r="E100" s="1230" t="s">
        <v>31</v>
      </c>
      <c r="F100" s="1259"/>
      <c r="G100" s="1249" t="s">
        <v>110</v>
      </c>
      <c r="H100" s="1257"/>
      <c r="I100" s="1249" t="s">
        <v>111</v>
      </c>
      <c r="J100" s="1257"/>
      <c r="K100" s="1249" t="s">
        <v>128</v>
      </c>
      <c r="L100" s="1257"/>
      <c r="M100" s="1254" t="s">
        <v>129</v>
      </c>
      <c r="N100" s="1219"/>
      <c r="O100" s="1218" t="s">
        <v>169</v>
      </c>
      <c r="P100" s="1219"/>
      <c r="Q100" s="1218" t="s">
        <v>161</v>
      </c>
      <c r="R100" s="1219"/>
      <c r="S100" s="1218" t="s">
        <v>180</v>
      </c>
      <c r="T100" s="1219"/>
      <c r="U100" s="1218" t="s">
        <v>190</v>
      </c>
      <c r="V100" s="1219"/>
      <c r="W100" s="1218" t="s">
        <v>195</v>
      </c>
      <c r="X100" s="1219"/>
      <c r="Y100" s="1218" t="s">
        <v>199</v>
      </c>
      <c r="Z100" s="1219"/>
      <c r="AA100" s="625"/>
      <c r="AB100" s="1260"/>
      <c r="AC100" s="1261"/>
      <c r="AD100" s="22"/>
      <c r="AE100" s="1"/>
    </row>
    <row r="101" spans="1:42" customFormat="1" x14ac:dyDescent="0.2">
      <c r="A101" s="1"/>
      <c r="B101" s="524" t="s">
        <v>136</v>
      </c>
      <c r="C101" s="1031"/>
      <c r="D101" s="1032"/>
      <c r="E101" s="1033"/>
      <c r="F101" s="1034"/>
      <c r="G101" s="1035"/>
      <c r="H101" s="1036"/>
      <c r="I101" s="1127"/>
      <c r="J101" s="1128"/>
      <c r="K101" s="537"/>
      <c r="L101" s="1037"/>
      <c r="M101" s="537"/>
      <c r="N101" s="538"/>
      <c r="O101" s="1038"/>
      <c r="P101" s="1039"/>
      <c r="Q101" s="537"/>
      <c r="R101" s="538"/>
      <c r="S101" s="537"/>
      <c r="T101" s="538"/>
      <c r="U101" s="1038"/>
      <c r="V101" s="1044"/>
      <c r="W101" s="537"/>
      <c r="X101" s="538"/>
      <c r="Y101" s="537"/>
      <c r="Z101" s="538"/>
      <c r="AA101" s="1040"/>
      <c r="AB101" s="1040"/>
      <c r="AC101" s="1040"/>
      <c r="AD101" s="1"/>
      <c r="AE101" s="1"/>
    </row>
    <row r="102" spans="1:42" customFormat="1" x14ac:dyDescent="0.2">
      <c r="A102" s="430"/>
      <c r="B102" s="534" t="s">
        <v>118</v>
      </c>
      <c r="C102" s="1262">
        <v>6.85</v>
      </c>
      <c r="D102" s="1263"/>
      <c r="E102" s="535"/>
      <c r="F102" s="536"/>
      <c r="G102" s="537"/>
      <c r="H102" s="538"/>
      <c r="I102" s="1262">
        <v>0.85</v>
      </c>
      <c r="J102" s="1263"/>
      <c r="K102" s="1041"/>
      <c r="L102" s="1042"/>
      <c r="M102" s="1041"/>
      <c r="N102" s="538"/>
      <c r="O102" s="1043"/>
      <c r="P102" s="1044">
        <v>0.75</v>
      </c>
      <c r="Q102" s="1041"/>
      <c r="R102" s="538"/>
      <c r="S102" s="1041"/>
      <c r="T102" s="538"/>
      <c r="U102" s="1047"/>
      <c r="V102" s="1044">
        <v>0.5</v>
      </c>
      <c r="W102" s="1041"/>
      <c r="X102" s="538"/>
      <c r="Y102" s="1041"/>
      <c r="Z102" s="538"/>
      <c r="AA102" s="1040"/>
      <c r="AB102" s="1040"/>
      <c r="AC102" s="1040"/>
      <c r="AD102" s="1"/>
      <c r="AE102" s="1"/>
    </row>
    <row r="103" spans="1:42" customFormat="1" x14ac:dyDescent="0.2">
      <c r="A103" s="430"/>
      <c r="B103" s="542" t="s">
        <v>119</v>
      </c>
      <c r="C103" s="1262"/>
      <c r="D103" s="1263"/>
      <c r="E103" s="535"/>
      <c r="F103" s="536"/>
      <c r="G103" s="537"/>
      <c r="H103" s="538"/>
      <c r="I103" s="1262"/>
      <c r="J103" s="1263"/>
      <c r="K103" s="1041"/>
      <c r="L103" s="1042"/>
      <c r="M103" s="1041"/>
      <c r="N103" s="538"/>
      <c r="O103" s="1043"/>
      <c r="P103" s="1044"/>
      <c r="Q103" s="1041"/>
      <c r="R103" s="538"/>
      <c r="S103" s="1041"/>
      <c r="T103" s="538"/>
      <c r="U103" s="1047"/>
      <c r="V103" s="1044"/>
      <c r="W103" s="1041"/>
      <c r="X103" s="538"/>
      <c r="Y103" s="1041"/>
      <c r="Z103" s="538"/>
      <c r="AA103" s="1040"/>
      <c r="AB103" s="1040"/>
      <c r="AC103" s="1040"/>
      <c r="AD103" s="1"/>
      <c r="AE103" s="1"/>
    </row>
    <row r="104" spans="1:42" customFormat="1" x14ac:dyDescent="0.2">
      <c r="A104" s="430"/>
      <c r="B104" s="542" t="s">
        <v>120</v>
      </c>
      <c r="C104" s="1262">
        <v>7.65</v>
      </c>
      <c r="D104" s="1263"/>
      <c r="E104" s="535"/>
      <c r="F104" s="536"/>
      <c r="G104" s="537"/>
      <c r="H104" s="538"/>
      <c r="I104" s="1262">
        <v>0</v>
      </c>
      <c r="J104" s="1263"/>
      <c r="K104" s="1041"/>
      <c r="L104" s="1042"/>
      <c r="M104" s="1041"/>
      <c r="N104" s="538"/>
      <c r="O104" s="1043"/>
      <c r="P104" s="1044">
        <v>0</v>
      </c>
      <c r="Q104" s="1041"/>
      <c r="R104" s="538"/>
      <c r="S104" s="1041"/>
      <c r="T104" s="538"/>
      <c r="U104" s="1047"/>
      <c r="V104" s="1044">
        <v>0</v>
      </c>
      <c r="W104" s="1041"/>
      <c r="X104" s="538"/>
      <c r="Y104" s="1041"/>
      <c r="Z104" s="538"/>
      <c r="AA104" s="1040"/>
      <c r="AB104" s="1040"/>
      <c r="AC104" s="1040"/>
      <c r="AD104" s="1"/>
      <c r="AE104" s="1"/>
    </row>
    <row r="105" spans="1:42" customFormat="1" x14ac:dyDescent="0.2">
      <c r="A105" s="430"/>
      <c r="B105" s="534" t="s">
        <v>121</v>
      </c>
      <c r="C105" s="1262">
        <v>0</v>
      </c>
      <c r="D105" s="1263"/>
      <c r="E105" s="535"/>
      <c r="F105" s="536"/>
      <c r="G105" s="537"/>
      <c r="H105" s="538"/>
      <c r="I105" s="1262">
        <v>0</v>
      </c>
      <c r="J105" s="1263"/>
      <c r="K105" s="1041"/>
      <c r="L105" s="1042"/>
      <c r="M105" s="1041"/>
      <c r="N105" s="538"/>
      <c r="O105" s="1043"/>
      <c r="P105" s="1044">
        <v>2</v>
      </c>
      <c r="Q105" s="1041"/>
      <c r="R105" s="538"/>
      <c r="S105" s="1041"/>
      <c r="T105" s="538"/>
      <c r="U105" s="1047"/>
      <c r="V105" s="1044">
        <v>2</v>
      </c>
      <c r="W105" s="1041"/>
      <c r="X105" s="538"/>
      <c r="Y105" s="1041"/>
      <c r="Z105" s="538"/>
      <c r="AA105" s="1040"/>
      <c r="AB105" s="1040"/>
      <c r="AC105" s="1040"/>
      <c r="AD105" s="1"/>
      <c r="AE105" s="1"/>
    </row>
    <row r="106" spans="1:42" customFormat="1" x14ac:dyDescent="0.2">
      <c r="A106" s="430"/>
      <c r="B106" s="543" t="s">
        <v>122</v>
      </c>
      <c r="C106" s="1262">
        <v>1.1000000000000001</v>
      </c>
      <c r="D106" s="1263"/>
      <c r="E106" s="535"/>
      <c r="F106" s="536"/>
      <c r="G106" s="537"/>
      <c r="H106" s="538"/>
      <c r="I106" s="1262">
        <f>2.45+0.7</f>
        <v>3.1500000000000004</v>
      </c>
      <c r="J106" s="1263"/>
      <c r="K106" s="1041"/>
      <c r="L106" s="1042"/>
      <c r="M106" s="1041"/>
      <c r="N106" s="538"/>
      <c r="O106" s="1043"/>
      <c r="P106" s="1044">
        <v>5.0199999999999996</v>
      </c>
      <c r="Q106" s="1041"/>
      <c r="R106" s="538"/>
      <c r="S106" s="1041"/>
      <c r="T106" s="538"/>
      <c r="U106" s="1047"/>
      <c r="V106" s="1044">
        <f>3.5+1</f>
        <v>4.5</v>
      </c>
      <c r="W106" s="1041"/>
      <c r="X106" s="538"/>
      <c r="Y106" s="1041"/>
      <c r="Z106" s="538"/>
      <c r="AA106" s="1040"/>
      <c r="AB106" s="1040"/>
      <c r="AC106" s="1040"/>
      <c r="AD106" s="1"/>
      <c r="AE106" s="1"/>
    </row>
    <row r="107" spans="1:42" customFormat="1" x14ac:dyDescent="0.2">
      <c r="A107" s="430"/>
      <c r="B107" s="543" t="s">
        <v>123</v>
      </c>
      <c r="C107" s="1262">
        <f>SUM(C102:D106)</f>
        <v>15.6</v>
      </c>
      <c r="D107" s="1263"/>
      <c r="E107" s="535"/>
      <c r="F107" s="536"/>
      <c r="G107" s="537"/>
      <c r="H107" s="538"/>
      <c r="I107" s="1262">
        <f>SUM(I102:J106)</f>
        <v>4</v>
      </c>
      <c r="J107" s="1263"/>
      <c r="K107" s="1041"/>
      <c r="L107" s="1042"/>
      <c r="M107" s="1041"/>
      <c r="N107" s="538"/>
      <c r="O107" s="1043"/>
      <c r="P107" s="1044">
        <f>SUM(P102:P106)</f>
        <v>7.77</v>
      </c>
      <c r="Q107" s="1041"/>
      <c r="R107" s="538"/>
      <c r="S107" s="1041"/>
      <c r="T107" s="538"/>
      <c r="U107" s="1047"/>
      <c r="V107" s="1044">
        <f>SUM(V102:V106)</f>
        <v>7</v>
      </c>
      <c r="W107" s="1041"/>
      <c r="X107" s="538"/>
      <c r="Y107" s="1041"/>
      <c r="Z107" s="538"/>
      <c r="AA107" s="1040"/>
      <c r="AB107" s="1040"/>
      <c r="AC107" s="1040"/>
      <c r="AD107" s="1"/>
      <c r="AE107" s="1"/>
    </row>
    <row r="108" spans="1:42" customFormat="1" ht="13.5" thickBot="1" x14ac:dyDescent="0.25">
      <c r="A108" s="430"/>
      <c r="B108" s="544" t="s">
        <v>130</v>
      </c>
      <c r="C108" s="1262"/>
      <c r="D108" s="1263"/>
      <c r="E108" s="535"/>
      <c r="F108" s="536"/>
      <c r="G108" s="537"/>
      <c r="H108" s="538"/>
      <c r="I108" s="1262"/>
      <c r="J108" s="1263"/>
      <c r="K108" s="1041"/>
      <c r="L108" s="1042"/>
      <c r="M108" s="1041"/>
      <c r="N108" s="538"/>
      <c r="O108" s="1043"/>
      <c r="P108" s="884"/>
      <c r="Q108" s="1041"/>
      <c r="R108" s="538"/>
      <c r="S108" s="1041"/>
      <c r="T108" s="538"/>
      <c r="U108" s="1047"/>
      <c r="V108" s="884"/>
      <c r="W108" s="1041"/>
      <c r="X108" s="538"/>
      <c r="Y108" s="1041"/>
      <c r="Z108" s="538"/>
      <c r="AA108" s="1040"/>
      <c r="AB108" s="1040"/>
      <c r="AC108" s="1040"/>
      <c r="AD108" s="1"/>
      <c r="AE108" s="1"/>
    </row>
    <row r="109" spans="1:42" customFormat="1" x14ac:dyDescent="0.2">
      <c r="A109" s="430"/>
      <c r="B109" s="534" t="s">
        <v>124</v>
      </c>
      <c r="C109" s="1262">
        <v>3052</v>
      </c>
      <c r="D109" s="1263"/>
      <c r="E109" s="535"/>
      <c r="F109" s="536"/>
      <c r="G109" s="537"/>
      <c r="H109" s="538"/>
      <c r="I109" s="1264">
        <v>74</v>
      </c>
      <c r="J109" s="1265"/>
      <c r="K109" s="556"/>
      <c r="L109" s="557"/>
      <c r="M109" s="556"/>
      <c r="N109" s="555"/>
      <c r="O109" s="1045"/>
      <c r="P109" s="1046">
        <v>4</v>
      </c>
      <c r="Q109" s="556"/>
      <c r="R109" s="555"/>
      <c r="S109" s="556"/>
      <c r="T109" s="555"/>
      <c r="U109" s="774"/>
      <c r="V109" s="1046">
        <v>1</v>
      </c>
      <c r="W109" s="556"/>
      <c r="X109" s="555"/>
      <c r="Y109" s="556"/>
      <c r="Z109" s="555"/>
      <c r="AA109" s="626"/>
      <c r="AB109" s="626"/>
      <c r="AC109" s="491"/>
      <c r="AD109" s="1"/>
      <c r="AE109" s="1"/>
    </row>
    <row r="110" spans="1:42" customFormat="1" x14ac:dyDescent="0.2">
      <c r="A110" s="430"/>
      <c r="B110" s="543" t="s">
        <v>125</v>
      </c>
      <c r="C110" s="1262">
        <v>1586</v>
      </c>
      <c r="D110" s="1263"/>
      <c r="E110" s="535"/>
      <c r="F110" s="536"/>
      <c r="G110" s="537"/>
      <c r="H110" s="538"/>
      <c r="I110" s="1264">
        <v>0</v>
      </c>
      <c r="J110" s="1265"/>
      <c r="K110" s="556"/>
      <c r="L110" s="557"/>
      <c r="M110" s="556"/>
      <c r="N110" s="555"/>
      <c r="O110" s="1045"/>
      <c r="P110" s="1046">
        <v>0</v>
      </c>
      <c r="Q110" s="556"/>
      <c r="R110" s="555"/>
      <c r="S110" s="556"/>
      <c r="T110" s="555"/>
      <c r="U110" s="774"/>
      <c r="V110" s="1046">
        <v>0</v>
      </c>
      <c r="W110" s="556"/>
      <c r="X110" s="555"/>
      <c r="Y110" s="556"/>
      <c r="Z110" s="555"/>
      <c r="AA110" s="626"/>
      <c r="AB110" s="626"/>
      <c r="AC110" s="491"/>
      <c r="AD110" s="1"/>
      <c r="AE110" s="1"/>
    </row>
    <row r="111" spans="1:42" customFormat="1" x14ac:dyDescent="0.2">
      <c r="A111" s="430"/>
      <c r="B111" s="543" t="s">
        <v>126</v>
      </c>
      <c r="C111" s="1262">
        <v>216</v>
      </c>
      <c r="D111" s="1263"/>
      <c r="E111" s="535"/>
      <c r="F111" s="536"/>
      <c r="G111" s="537"/>
      <c r="H111" s="538"/>
      <c r="I111" s="1264">
        <f>252+38</f>
        <v>290</v>
      </c>
      <c r="J111" s="1265"/>
      <c r="K111" s="556"/>
      <c r="L111" s="557"/>
      <c r="M111" s="556"/>
      <c r="N111" s="555"/>
      <c r="O111" s="1045"/>
      <c r="P111" s="1046">
        <v>173</v>
      </c>
      <c r="Q111" s="556"/>
      <c r="R111" s="555"/>
      <c r="S111" s="556"/>
      <c r="T111" s="555"/>
      <c r="U111" s="774"/>
      <c r="V111" s="1046">
        <f>143+17</f>
        <v>160</v>
      </c>
      <c r="W111" s="556"/>
      <c r="X111" s="555"/>
      <c r="Y111" s="556"/>
      <c r="Z111" s="555"/>
      <c r="AA111" s="626"/>
      <c r="AB111" s="626"/>
      <c r="AC111" s="491"/>
      <c r="AD111" s="1"/>
      <c r="AE111" s="1"/>
    </row>
    <row r="112" spans="1:42" customFormat="1" x14ac:dyDescent="0.2">
      <c r="A112" s="430"/>
      <c r="B112" s="543" t="s">
        <v>135</v>
      </c>
      <c r="C112" s="1262">
        <f>SUM(C109:D111)</f>
        <v>4854</v>
      </c>
      <c r="D112" s="1263"/>
      <c r="E112" s="535"/>
      <c r="F112" s="536"/>
      <c r="G112" s="537"/>
      <c r="H112" s="538"/>
      <c r="I112" s="1264">
        <f>SUM(I109:J111)</f>
        <v>364</v>
      </c>
      <c r="J112" s="1265"/>
      <c r="K112" s="556"/>
      <c r="L112" s="557"/>
      <c r="M112" s="556"/>
      <c r="N112" s="555"/>
      <c r="O112" s="1045"/>
      <c r="P112" s="1046">
        <f>SUM(P109:P111)</f>
        <v>177</v>
      </c>
      <c r="Q112" s="556"/>
      <c r="R112" s="555"/>
      <c r="S112" s="556"/>
      <c r="T112" s="555"/>
      <c r="U112" s="774"/>
      <c r="V112" s="1046">
        <f>SUM(V109:V111)</f>
        <v>161</v>
      </c>
      <c r="W112" s="556"/>
      <c r="X112" s="555"/>
      <c r="Y112" s="556"/>
      <c r="Z112" s="555"/>
      <c r="AA112" s="626"/>
      <c r="AB112" s="626"/>
      <c r="AC112" s="491"/>
      <c r="AD112" s="1"/>
      <c r="AE112" s="1"/>
    </row>
    <row r="113" spans="1:31" customFormat="1" ht="13.5" thickBot="1" x14ac:dyDescent="0.25">
      <c r="A113" s="430"/>
      <c r="B113" s="544" t="s">
        <v>131</v>
      </c>
      <c r="C113" s="1262"/>
      <c r="D113" s="1263"/>
      <c r="E113" s="535"/>
      <c r="F113" s="536"/>
      <c r="G113" s="537"/>
      <c r="H113" s="538"/>
      <c r="I113" s="1262"/>
      <c r="J113" s="1263"/>
      <c r="K113" s="1041"/>
      <c r="L113" s="1042"/>
      <c r="M113" s="1041"/>
      <c r="N113" s="538"/>
      <c r="O113" s="1047"/>
      <c r="P113" s="1044"/>
      <c r="Q113" s="1041"/>
      <c r="R113" s="538"/>
      <c r="S113" s="1041"/>
      <c r="T113" s="538"/>
      <c r="U113" s="1047"/>
      <c r="V113" s="1044"/>
      <c r="W113" s="1041"/>
      <c r="X113" s="538"/>
      <c r="Y113" s="1041"/>
      <c r="Z113" s="538"/>
      <c r="AA113" s="1040"/>
      <c r="AB113" s="1040"/>
      <c r="AC113" s="1040"/>
      <c r="AD113" s="22"/>
      <c r="AE113" s="22"/>
    </row>
    <row r="114" spans="1:31" customFormat="1" x14ac:dyDescent="0.2">
      <c r="A114" s="430"/>
      <c r="B114" s="534" t="s">
        <v>132</v>
      </c>
      <c r="C114" s="1262">
        <f>C109/C102</f>
        <v>445.54744525547449</v>
      </c>
      <c r="D114" s="1263"/>
      <c r="E114" s="535"/>
      <c r="F114" s="536"/>
      <c r="G114" s="537"/>
      <c r="H114" s="538"/>
      <c r="I114" s="1262">
        <f>I109/I102</f>
        <v>87.058823529411768</v>
      </c>
      <c r="J114" s="1263"/>
      <c r="K114" s="1041"/>
      <c r="L114" s="1042"/>
      <c r="M114" s="1041"/>
      <c r="N114" s="538"/>
      <c r="O114" s="1047"/>
      <c r="P114" s="1044">
        <f>P109/P102</f>
        <v>5.333333333333333</v>
      </c>
      <c r="Q114" s="1041"/>
      <c r="R114" s="538"/>
      <c r="S114" s="1041"/>
      <c r="T114" s="538"/>
      <c r="U114" s="1047"/>
      <c r="V114" s="1044">
        <f>V109/V102</f>
        <v>2</v>
      </c>
      <c r="W114" s="1041"/>
      <c r="X114" s="538"/>
      <c r="Y114" s="1041"/>
      <c r="Z114" s="538"/>
      <c r="AA114" s="1040"/>
      <c r="AB114" s="1040"/>
      <c r="AC114" s="1040"/>
      <c r="AD114" s="432"/>
      <c r="AE114" s="432"/>
    </row>
    <row r="115" spans="1:31" customFormat="1" x14ac:dyDescent="0.2">
      <c r="A115" s="430"/>
      <c r="B115" s="543" t="s">
        <v>133</v>
      </c>
      <c r="C115" s="1262">
        <f>C110/C104</f>
        <v>207.3202614379085</v>
      </c>
      <c r="D115" s="1263"/>
      <c r="E115" s="535"/>
      <c r="F115" s="536"/>
      <c r="G115" s="537"/>
      <c r="H115" s="538"/>
      <c r="I115" s="1262">
        <v>0</v>
      </c>
      <c r="J115" s="1263"/>
      <c r="K115" s="1041"/>
      <c r="L115" s="1042"/>
      <c r="M115" s="1041"/>
      <c r="N115" s="538"/>
      <c r="O115" s="1047"/>
      <c r="P115" s="1044">
        <v>0</v>
      </c>
      <c r="Q115" s="1041"/>
      <c r="R115" s="538"/>
      <c r="S115" s="1041"/>
      <c r="T115" s="538"/>
      <c r="U115" s="1047"/>
      <c r="V115" s="1044">
        <f>V110/(V104+V105)</f>
        <v>0</v>
      </c>
      <c r="W115" s="1041"/>
      <c r="X115" s="538"/>
      <c r="Y115" s="1041"/>
      <c r="Z115" s="538"/>
      <c r="AA115" s="1040"/>
      <c r="AB115" s="1040"/>
      <c r="AC115" s="1040"/>
      <c r="AD115" s="432"/>
      <c r="AE115" s="432"/>
    </row>
    <row r="116" spans="1:31" customFormat="1" x14ac:dyDescent="0.2">
      <c r="A116" s="430"/>
      <c r="B116" s="543" t="s">
        <v>134</v>
      </c>
      <c r="C116" s="1262">
        <f>C111/C106</f>
        <v>196.36363636363635</v>
      </c>
      <c r="D116" s="1263"/>
      <c r="E116" s="535"/>
      <c r="F116" s="536"/>
      <c r="G116" s="537"/>
      <c r="H116" s="538"/>
      <c r="I116" s="1262">
        <f>I111/I106</f>
        <v>92.063492063492049</v>
      </c>
      <c r="J116" s="1263"/>
      <c r="K116" s="1041"/>
      <c r="L116" s="1042"/>
      <c r="M116" s="1041"/>
      <c r="N116" s="538"/>
      <c r="O116" s="1047"/>
      <c r="P116" s="1044">
        <f>P111/P106</f>
        <v>34.462151394422314</v>
      </c>
      <c r="Q116" s="1041"/>
      <c r="R116" s="538"/>
      <c r="S116" s="1041"/>
      <c r="T116" s="538"/>
      <c r="U116" s="1047"/>
      <c r="V116" s="1044">
        <f>V111/V106</f>
        <v>35.555555555555557</v>
      </c>
      <c r="W116" s="1041"/>
      <c r="X116" s="538"/>
      <c r="Y116" s="1041"/>
      <c r="Z116" s="538"/>
      <c r="AA116" s="1040"/>
      <c r="AB116" s="1040"/>
      <c r="AC116" s="1040"/>
      <c r="AD116" s="432"/>
      <c r="AE116" s="432"/>
    </row>
    <row r="117" spans="1:31" customFormat="1" ht="13.5" thickBot="1" x14ac:dyDescent="0.25">
      <c r="A117" s="430"/>
      <c r="B117" s="559" t="s">
        <v>127</v>
      </c>
      <c r="C117" s="1266">
        <f>C112/C107</f>
        <v>311.15384615384619</v>
      </c>
      <c r="D117" s="1267"/>
      <c r="E117" s="1048"/>
      <c r="F117" s="1049"/>
      <c r="G117" s="1050"/>
      <c r="H117" s="1051"/>
      <c r="I117" s="1266">
        <f>I112/I107</f>
        <v>91</v>
      </c>
      <c r="J117" s="1267"/>
      <c r="K117" s="1050"/>
      <c r="L117" s="1051"/>
      <c r="M117" s="1050"/>
      <c r="N117" s="1051"/>
      <c r="O117" s="1052"/>
      <c r="P117" s="1129">
        <f>P112/P107</f>
        <v>22.779922779922781</v>
      </c>
      <c r="Q117" s="1053"/>
      <c r="R117" s="1051"/>
      <c r="S117" s="1053"/>
      <c r="T117" s="1051"/>
      <c r="U117" s="1189"/>
      <c r="V117" s="1129">
        <f>V112/V107</f>
        <v>23</v>
      </c>
      <c r="W117" s="1053"/>
      <c r="X117" s="1051"/>
      <c r="Y117" s="1053"/>
      <c r="Z117" s="1051"/>
      <c r="AA117" s="1040"/>
      <c r="AB117" s="1040"/>
      <c r="AC117" s="1040"/>
      <c r="AD117" s="432"/>
      <c r="AE117" s="432"/>
    </row>
    <row r="118" spans="1:31" ht="12" customHeight="1" thickTop="1" x14ac:dyDescent="0.2">
      <c r="B118" s="1" t="str">
        <f>'ED Sum'!B117</f>
        <v>*Note: For the 2009 collection cycle and later, Instructional FTE was defined according to the national Delaware Study of Instructional Costs and Productivity</v>
      </c>
      <c r="K118" s="203"/>
      <c r="L118" s="203"/>
      <c r="M118" s="203"/>
      <c r="N118" s="203"/>
      <c r="O118" s="22"/>
      <c r="P118" s="136"/>
      <c r="Q118" s="22"/>
      <c r="R118" s="136"/>
      <c r="S118" s="22"/>
      <c r="T118" s="136"/>
      <c r="U118" s="22"/>
      <c r="V118" s="136"/>
      <c r="W118" s="22"/>
      <c r="X118" s="136"/>
      <c r="Y118" s="22"/>
      <c r="Z118" s="136"/>
    </row>
  </sheetData>
  <mergeCells count="149">
    <mergeCell ref="Y32:Z32"/>
    <mergeCell ref="Y35:Z35"/>
    <mergeCell ref="Y39:Z39"/>
    <mergeCell ref="Y65:Z65"/>
    <mergeCell ref="Y66:Z66"/>
    <mergeCell ref="Y95:Z95"/>
    <mergeCell ref="Y100:Z100"/>
    <mergeCell ref="C117:D117"/>
    <mergeCell ref="I117:J117"/>
    <mergeCell ref="S66:T66"/>
    <mergeCell ref="S95:T95"/>
    <mergeCell ref="S100:T100"/>
    <mergeCell ref="C114:D114"/>
    <mergeCell ref="I114:J114"/>
    <mergeCell ref="C116:D116"/>
    <mergeCell ref="I116:J116"/>
    <mergeCell ref="C115:D115"/>
    <mergeCell ref="C106:D106"/>
    <mergeCell ref="I106:J106"/>
    <mergeCell ref="C107:D107"/>
    <mergeCell ref="I107:J107"/>
    <mergeCell ref="I115:J115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08:D108"/>
    <mergeCell ref="I108:J108"/>
    <mergeCell ref="C109:D109"/>
    <mergeCell ref="I109:J109"/>
    <mergeCell ref="Q100:R100"/>
    <mergeCell ref="AB100:AC100"/>
    <mergeCell ref="C102:D102"/>
    <mergeCell ref="I102:J102"/>
    <mergeCell ref="K100:L100"/>
    <mergeCell ref="M100:N100"/>
    <mergeCell ref="I104:J104"/>
    <mergeCell ref="C105:D105"/>
    <mergeCell ref="I105:J105"/>
    <mergeCell ref="C104:D104"/>
    <mergeCell ref="I103:J103"/>
    <mergeCell ref="C103:D103"/>
    <mergeCell ref="C100:D100"/>
    <mergeCell ref="E100:F100"/>
    <mergeCell ref="G100:H100"/>
    <mergeCell ref="I100:J100"/>
    <mergeCell ref="O66:P66"/>
    <mergeCell ref="O95:P95"/>
    <mergeCell ref="K95:L95"/>
    <mergeCell ref="K66:L66"/>
    <mergeCell ref="O100:P100"/>
    <mergeCell ref="C95:D95"/>
    <mergeCell ref="E95:F95"/>
    <mergeCell ref="G95:H95"/>
    <mergeCell ref="I95:J95"/>
    <mergeCell ref="M66:N66"/>
    <mergeCell ref="AB95:AC95"/>
    <mergeCell ref="G24:H24"/>
    <mergeCell ref="G39:H39"/>
    <mergeCell ref="G65:H65"/>
    <mergeCell ref="I66:J66"/>
    <mergeCell ref="I24:J24"/>
    <mergeCell ref="I39:J39"/>
    <mergeCell ref="M24:N24"/>
    <mergeCell ref="Q66:R66"/>
    <mergeCell ref="Q95:R95"/>
    <mergeCell ref="G35:H35"/>
    <mergeCell ref="M95:N95"/>
    <mergeCell ref="O24:P24"/>
    <mergeCell ref="S35:T35"/>
    <mergeCell ref="S39:T39"/>
    <mergeCell ref="S65:T65"/>
    <mergeCell ref="AB65:AC65"/>
    <mergeCell ref="AB32:AC32"/>
    <mergeCell ref="AB39:AC39"/>
    <mergeCell ref="Q39:R39"/>
    <mergeCell ref="K32:L32"/>
    <mergeCell ref="Q32:R32"/>
    <mergeCell ref="Q35:R35"/>
    <mergeCell ref="M35:N35"/>
    <mergeCell ref="Q65:R65"/>
    <mergeCell ref="S32:T32"/>
    <mergeCell ref="AB7:AC7"/>
    <mergeCell ref="AB24:AC24"/>
    <mergeCell ref="Q7:R7"/>
    <mergeCell ref="Q24:R24"/>
    <mergeCell ref="I7:J7"/>
    <mergeCell ref="K7:L7"/>
    <mergeCell ref="M7:N7"/>
    <mergeCell ref="S7:T7"/>
    <mergeCell ref="S24:T24"/>
    <mergeCell ref="K24:L24"/>
    <mergeCell ref="O7:P7"/>
    <mergeCell ref="M39:N39"/>
    <mergeCell ref="M65:N65"/>
    <mergeCell ref="I35:J35"/>
    <mergeCell ref="I32:J32"/>
    <mergeCell ref="O65:P65"/>
    <mergeCell ref="O39:P39"/>
    <mergeCell ref="O32:P32"/>
    <mergeCell ref="O35:P35"/>
    <mergeCell ref="M32:N32"/>
    <mergeCell ref="Y7:Z7"/>
    <mergeCell ref="Y24:Z24"/>
    <mergeCell ref="C24:D24"/>
    <mergeCell ref="E24:F24"/>
    <mergeCell ref="C32:D32"/>
    <mergeCell ref="E32:F32"/>
    <mergeCell ref="K39:L39"/>
    <mergeCell ref="K65:L65"/>
    <mergeCell ref="I33:J33"/>
    <mergeCell ref="E34:F34"/>
    <mergeCell ref="C39:D39"/>
    <mergeCell ref="I65:J65"/>
    <mergeCell ref="C35:D35"/>
    <mergeCell ref="E35:F35"/>
    <mergeCell ref="C33:D33"/>
    <mergeCell ref="E33:F33"/>
    <mergeCell ref="G33:H33"/>
    <mergeCell ref="I34:J34"/>
    <mergeCell ref="K35:L35"/>
    <mergeCell ref="C34:D34"/>
    <mergeCell ref="C65:D65"/>
    <mergeCell ref="G34:H34"/>
    <mergeCell ref="G32:H32"/>
    <mergeCell ref="E65:F65"/>
    <mergeCell ref="E39:F39"/>
    <mergeCell ref="U66:V66"/>
    <mergeCell ref="U95:V95"/>
    <mergeCell ref="U100:V100"/>
    <mergeCell ref="U7:V7"/>
    <mergeCell ref="U24:V24"/>
    <mergeCell ref="U32:V32"/>
    <mergeCell ref="U35:V35"/>
    <mergeCell ref="U39:V39"/>
    <mergeCell ref="U65:V65"/>
    <mergeCell ref="W66:X66"/>
    <mergeCell ref="W95:X95"/>
    <mergeCell ref="W100:X100"/>
    <mergeCell ref="W7:X7"/>
    <mergeCell ref="W24:X24"/>
    <mergeCell ref="W32:X32"/>
    <mergeCell ref="W35:X35"/>
    <mergeCell ref="W39:X39"/>
    <mergeCell ref="W65:X65"/>
  </mergeCells>
  <phoneticPr fontId="0" type="noConversion"/>
  <printOptions horizontalCentered="1"/>
  <pageMargins left="0.5" right="0.5" top="0.5" bottom="0.5" header="0.5" footer="0.5"/>
  <pageSetup scale="70" orientation="landscape" horizontalDpi="4294967292" verticalDpi="4294967292" r:id="rId1"/>
  <headerFooter alignWithMargins="0">
    <oddFooter>&amp;R&amp;8&amp;P of &amp;N
&amp;D</oddFooter>
  </headerFooter>
  <rowBreaks count="1" manualBreakCount="1">
    <brk id="62" max="21" man="1"/>
  </rowBreaks>
  <ignoredErrors>
    <ignoredError sqref="S75:S94 U75 W75:W9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6"/>
  <sheetViews>
    <sheetView view="pageBreakPreview" zoomScaleNormal="100" zoomScaleSheetLayoutView="100" workbookViewId="0">
      <pane xSplit="2" topLeftCell="I1" activePane="topRight" state="frozen"/>
      <selection activeCell="AD88" sqref="AD88"/>
      <selection pane="topRight" activeCell="AD88" sqref="AD88"/>
    </sheetView>
  </sheetViews>
  <sheetFormatPr defaultColWidth="10.28515625" defaultRowHeight="12.75" x14ac:dyDescent="0.2"/>
  <cols>
    <col min="1" max="1" width="3.7109375" style="1" customWidth="1"/>
    <col min="2" max="2" width="33.140625" style="1" customWidth="1"/>
    <col min="3" max="3" width="7.7109375" style="204" hidden="1" customWidth="1"/>
    <col min="4" max="4" width="11" style="204" hidden="1" customWidth="1"/>
    <col min="5" max="5" width="7.7109375" style="204" hidden="1" customWidth="1"/>
    <col min="6" max="6" width="10.28515625" style="204" hidden="1" customWidth="1"/>
    <col min="7" max="7" width="7.7109375" style="1" hidden="1" customWidth="1"/>
    <col min="8" max="8" width="10.28515625" style="1" hidden="1" customWidth="1"/>
    <col min="9" max="9" width="7.7109375" style="1" hidden="1" customWidth="1"/>
    <col min="10" max="10" width="10.28515625" style="1" hidden="1" customWidth="1"/>
    <col min="11" max="11" width="7.7109375" style="1" customWidth="1"/>
    <col min="12" max="12" width="10.28515625" style="1" customWidth="1"/>
    <col min="13" max="13" width="7.7109375" style="1" customWidth="1"/>
    <col min="14" max="14" width="10.28515625" style="1" customWidth="1"/>
    <col min="15" max="15" width="7.7109375" style="1" customWidth="1"/>
    <col min="16" max="16" width="10.28515625" style="1" customWidth="1"/>
    <col min="17" max="17" width="7.7109375" style="1" customWidth="1"/>
    <col min="18" max="18" width="10.28515625" style="1" customWidth="1"/>
    <col min="19" max="19" width="7.7109375" style="1" customWidth="1"/>
    <col min="20" max="20" width="10.28515625" style="1" customWidth="1"/>
    <col min="21" max="21" width="7.7109375" style="1" customWidth="1"/>
    <col min="22" max="22" width="10.28515625" style="1" customWidth="1"/>
    <col min="23" max="23" width="3" style="1" customWidth="1"/>
    <col min="24" max="25" width="10.28515625" style="1" customWidth="1"/>
    <col min="26" max="26" width="2.42578125" style="1" customWidth="1"/>
    <col min="27" max="16384" width="10.28515625" style="1"/>
  </cols>
  <sheetData>
    <row r="1" spans="1:26" ht="18" x14ac:dyDescent="0.25">
      <c r="A1" s="694" t="str">
        <f>Dean_Ed!A1</f>
        <v>Department Profile Report - FY 2015</v>
      </c>
      <c r="B1" s="694"/>
      <c r="C1" s="695"/>
      <c r="D1" s="695"/>
      <c r="E1" s="695"/>
      <c r="F1" s="695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</row>
    <row r="2" spans="1:26" ht="12" x14ac:dyDescent="0.2">
      <c r="C2" s="203"/>
      <c r="D2" s="203"/>
      <c r="E2" s="203"/>
      <c r="F2" s="203"/>
    </row>
    <row r="3" spans="1:26" x14ac:dyDescent="0.2">
      <c r="A3" s="3" t="s">
        <v>162</v>
      </c>
      <c r="C3" s="203"/>
      <c r="D3" s="203"/>
      <c r="E3" s="203"/>
      <c r="F3" s="203"/>
    </row>
    <row r="4" spans="1:26" ht="12" x14ac:dyDescent="0.2">
      <c r="B4" s="1" t="s">
        <v>165</v>
      </c>
      <c r="C4" s="203"/>
      <c r="D4" s="203"/>
      <c r="E4" s="203"/>
      <c r="F4" s="203"/>
    </row>
    <row r="5" spans="1:26" x14ac:dyDescent="0.2">
      <c r="A5" s="3" t="s">
        <v>54</v>
      </c>
      <c r="C5" s="203"/>
      <c r="D5" s="203"/>
      <c r="E5" s="203"/>
      <c r="F5" s="203"/>
    </row>
    <row r="6" spans="1:26" thickBot="1" x14ac:dyDescent="0.25">
      <c r="A6" s="2"/>
      <c r="C6" s="203"/>
      <c r="D6" s="203"/>
      <c r="E6" s="203"/>
      <c r="F6" s="203"/>
    </row>
    <row r="7" spans="1:26" ht="13.5" customHeight="1" thickTop="1" x14ac:dyDescent="0.2">
      <c r="B7" s="42"/>
      <c r="C7" s="252" t="s">
        <v>89</v>
      </c>
      <c r="D7" s="363"/>
      <c r="E7" s="1278" t="s">
        <v>99</v>
      </c>
      <c r="F7" s="1278"/>
      <c r="G7" s="1281" t="s">
        <v>101</v>
      </c>
      <c r="H7" s="1278"/>
      <c r="I7" s="1281" t="s">
        <v>106</v>
      </c>
      <c r="J7" s="1278"/>
      <c r="K7" s="1281" t="s">
        <v>155</v>
      </c>
      <c r="L7" s="1279"/>
      <c r="M7" s="1278" t="s">
        <v>160</v>
      </c>
      <c r="N7" s="1279"/>
      <c r="O7" s="1278" t="s">
        <v>179</v>
      </c>
      <c r="P7" s="1279"/>
      <c r="Q7" s="1278" t="s">
        <v>189</v>
      </c>
      <c r="R7" s="1279"/>
      <c r="S7" s="1278" t="s">
        <v>194</v>
      </c>
      <c r="T7" s="1279"/>
      <c r="U7" s="1278" t="s">
        <v>198</v>
      </c>
      <c r="V7" s="1279"/>
      <c r="X7" s="1274" t="s">
        <v>142</v>
      </c>
      <c r="Y7" s="1275"/>
    </row>
    <row r="8" spans="1:26" ht="12" x14ac:dyDescent="0.2">
      <c r="B8" s="43"/>
      <c r="C8" s="254" t="s">
        <v>0</v>
      </c>
      <c r="D8" s="354" t="s">
        <v>1</v>
      </c>
      <c r="E8" s="336" t="s">
        <v>0</v>
      </c>
      <c r="F8" s="373" t="s">
        <v>1</v>
      </c>
      <c r="G8" s="254" t="s">
        <v>0</v>
      </c>
      <c r="H8" s="373" t="s">
        <v>1</v>
      </c>
      <c r="I8" s="254" t="s">
        <v>0</v>
      </c>
      <c r="J8" s="354" t="s">
        <v>1</v>
      </c>
      <c r="K8" s="336" t="s">
        <v>0</v>
      </c>
      <c r="L8" s="354" t="s">
        <v>1</v>
      </c>
      <c r="M8" s="336" t="s">
        <v>0</v>
      </c>
      <c r="N8" s="354" t="s">
        <v>1</v>
      </c>
      <c r="O8" s="336" t="s">
        <v>0</v>
      </c>
      <c r="P8" s="354" t="s">
        <v>1</v>
      </c>
      <c r="Q8" s="336" t="s">
        <v>0</v>
      </c>
      <c r="R8" s="354" t="s">
        <v>1</v>
      </c>
      <c r="S8" s="336" t="s">
        <v>0</v>
      </c>
      <c r="T8" s="354" t="s">
        <v>1</v>
      </c>
      <c r="U8" s="336" t="s">
        <v>0</v>
      </c>
      <c r="V8" s="354" t="s">
        <v>1</v>
      </c>
      <c r="X8" s="628" t="s">
        <v>0</v>
      </c>
      <c r="Y8" s="589" t="s">
        <v>1</v>
      </c>
    </row>
    <row r="9" spans="1:26" thickBot="1" x14ac:dyDescent="0.25">
      <c r="B9" s="44"/>
      <c r="C9" s="924" t="s">
        <v>2</v>
      </c>
      <c r="D9" s="925" t="s">
        <v>3</v>
      </c>
      <c r="E9" s="926" t="s">
        <v>2</v>
      </c>
      <c r="F9" s="927" t="s">
        <v>3</v>
      </c>
      <c r="G9" s="924" t="s">
        <v>2</v>
      </c>
      <c r="H9" s="927" t="s">
        <v>3</v>
      </c>
      <c r="I9" s="924" t="s">
        <v>2</v>
      </c>
      <c r="J9" s="925" t="s">
        <v>3</v>
      </c>
      <c r="K9" s="926" t="s">
        <v>2</v>
      </c>
      <c r="L9" s="925" t="s">
        <v>3</v>
      </c>
      <c r="M9" s="926" t="s">
        <v>2</v>
      </c>
      <c r="N9" s="925" t="s">
        <v>3</v>
      </c>
      <c r="O9" s="926" t="s">
        <v>2</v>
      </c>
      <c r="P9" s="925" t="s">
        <v>3</v>
      </c>
      <c r="Q9" s="926" t="s">
        <v>2</v>
      </c>
      <c r="R9" s="925" t="s">
        <v>3</v>
      </c>
      <c r="S9" s="926" t="s">
        <v>2</v>
      </c>
      <c r="T9" s="925" t="s">
        <v>3</v>
      </c>
      <c r="U9" s="926" t="s">
        <v>2</v>
      </c>
      <c r="V9" s="925" t="s">
        <v>3</v>
      </c>
      <c r="X9" s="628" t="s">
        <v>2</v>
      </c>
      <c r="Y9" s="589" t="s">
        <v>3</v>
      </c>
    </row>
    <row r="10" spans="1:26" ht="12" x14ac:dyDescent="0.2">
      <c r="B10" s="45" t="s">
        <v>4</v>
      </c>
      <c r="C10" s="255"/>
      <c r="D10" s="122"/>
      <c r="E10" s="121"/>
      <c r="F10" s="250"/>
      <c r="G10" s="255"/>
      <c r="H10" s="250"/>
      <c r="I10" s="255"/>
      <c r="J10" s="122"/>
      <c r="K10" s="121"/>
      <c r="L10" s="122"/>
      <c r="M10" s="121"/>
      <c r="N10" s="122"/>
      <c r="O10" s="121"/>
      <c r="P10" s="122"/>
      <c r="Q10" s="121"/>
      <c r="R10" s="122"/>
      <c r="S10" s="121"/>
      <c r="T10" s="122"/>
      <c r="U10" s="121"/>
      <c r="V10" s="122"/>
      <c r="X10" s="629"/>
      <c r="Y10" s="596"/>
    </row>
    <row r="11" spans="1:26" ht="12" x14ac:dyDescent="0.2">
      <c r="B11" s="328" t="s">
        <v>22</v>
      </c>
      <c r="C11" s="27"/>
      <c r="D11" s="355"/>
      <c r="E11" s="323"/>
      <c r="F11" s="376"/>
      <c r="G11" s="130"/>
      <c r="H11" s="376"/>
      <c r="I11" s="130"/>
      <c r="J11" s="355"/>
      <c r="K11" s="323"/>
      <c r="L11" s="125"/>
      <c r="M11" s="323"/>
      <c r="N11" s="125"/>
      <c r="O11" s="323"/>
      <c r="P11" s="125"/>
      <c r="Q11" s="323"/>
      <c r="R11" s="125"/>
      <c r="S11" s="323"/>
      <c r="T11" s="125"/>
      <c r="U11" s="323"/>
      <c r="V11" s="125"/>
      <c r="X11" s="630"/>
      <c r="Y11" s="598"/>
    </row>
    <row r="12" spans="1:26" ht="12" x14ac:dyDescent="0.2">
      <c r="B12" s="70" t="s">
        <v>32</v>
      </c>
      <c r="C12" s="130">
        <v>119</v>
      </c>
      <c r="D12" s="356">
        <v>72</v>
      </c>
      <c r="E12" s="323">
        <v>106</v>
      </c>
      <c r="F12" s="377">
        <f>54+8</f>
        <v>62</v>
      </c>
      <c r="G12" s="130">
        <v>94</v>
      </c>
      <c r="H12" s="494">
        <v>59</v>
      </c>
      <c r="I12" s="130">
        <v>77</v>
      </c>
      <c r="J12" s="755">
        <v>49</v>
      </c>
      <c r="K12" s="323">
        <v>101</v>
      </c>
      <c r="L12" s="127">
        <v>39</v>
      </c>
      <c r="M12" s="323">
        <v>80</v>
      </c>
      <c r="N12" s="127">
        <v>48</v>
      </c>
      <c r="O12" s="323">
        <v>90</v>
      </c>
      <c r="P12" s="127">
        <v>37</v>
      </c>
      <c r="Q12" s="323">
        <v>83</v>
      </c>
      <c r="R12" s="127">
        <v>40</v>
      </c>
      <c r="S12" s="323">
        <v>84</v>
      </c>
      <c r="T12" s="127">
        <v>34</v>
      </c>
      <c r="U12" s="323">
        <v>132</v>
      </c>
      <c r="V12" s="1155"/>
      <c r="X12" s="630">
        <f>AVERAGE(S12,Q12,O12,M12,U12)</f>
        <v>93.8</v>
      </c>
      <c r="Y12" s="598">
        <f t="shared" ref="Y12:Y13" si="0">AVERAGE(T12,R12,P12,N12,V12)</f>
        <v>39.75</v>
      </c>
    </row>
    <row r="13" spans="1:26" ht="12" x14ac:dyDescent="0.2">
      <c r="B13" s="47" t="s">
        <v>6</v>
      </c>
      <c r="C13" s="130">
        <v>127</v>
      </c>
      <c r="D13" s="131">
        <v>18</v>
      </c>
      <c r="E13" s="323">
        <v>124</v>
      </c>
      <c r="F13" s="426">
        <f>18+8</f>
        <v>26</v>
      </c>
      <c r="G13" s="130">
        <v>98</v>
      </c>
      <c r="H13" s="426">
        <v>21</v>
      </c>
      <c r="I13" s="130">
        <v>94</v>
      </c>
      <c r="J13" s="131">
        <v>15</v>
      </c>
      <c r="K13" s="323">
        <v>80</v>
      </c>
      <c r="L13" s="131">
        <v>17</v>
      </c>
      <c r="M13" s="323">
        <v>71</v>
      </c>
      <c r="N13" s="131">
        <v>14</v>
      </c>
      <c r="O13" s="323">
        <v>60</v>
      </c>
      <c r="P13" s="131">
        <v>7</v>
      </c>
      <c r="Q13" s="323">
        <v>69</v>
      </c>
      <c r="R13" s="131">
        <v>13</v>
      </c>
      <c r="S13" s="323">
        <v>63</v>
      </c>
      <c r="T13" s="131">
        <v>5</v>
      </c>
      <c r="U13" s="323">
        <v>61</v>
      </c>
      <c r="V13" s="1156"/>
      <c r="X13" s="630">
        <f>AVERAGE(S13,Q13,O13,M13,U13)</f>
        <v>64.8</v>
      </c>
      <c r="Y13" s="598">
        <f t="shared" si="0"/>
        <v>9.75</v>
      </c>
    </row>
    <row r="14" spans="1:26" ht="12" x14ac:dyDescent="0.2">
      <c r="B14" s="330" t="s">
        <v>40</v>
      </c>
      <c r="C14" s="118"/>
      <c r="D14" s="119"/>
      <c r="E14" s="120"/>
      <c r="F14" s="374"/>
      <c r="G14" s="118"/>
      <c r="H14" s="374"/>
      <c r="I14" s="118"/>
      <c r="J14" s="119"/>
      <c r="K14" s="120"/>
      <c r="L14" s="119"/>
      <c r="M14" s="120"/>
      <c r="N14" s="119"/>
      <c r="O14" s="120"/>
      <c r="P14" s="119"/>
      <c r="Q14" s="120"/>
      <c r="R14" s="119"/>
      <c r="S14" s="120"/>
      <c r="T14" s="119"/>
      <c r="U14" s="120"/>
      <c r="V14" s="1157"/>
      <c r="X14" s="630"/>
      <c r="Y14" s="598"/>
    </row>
    <row r="15" spans="1:26" ht="12" x14ac:dyDescent="0.2">
      <c r="B15" s="47" t="s">
        <v>145</v>
      </c>
      <c r="C15" s="308">
        <v>368</v>
      </c>
      <c r="D15" s="356">
        <v>204</v>
      </c>
      <c r="E15" s="130">
        <v>350</v>
      </c>
      <c r="F15" s="376">
        <f>162+10+1</f>
        <v>173</v>
      </c>
      <c r="G15" s="130">
        <v>353</v>
      </c>
      <c r="H15" s="376">
        <f>187+1</f>
        <v>188</v>
      </c>
      <c r="I15" s="130">
        <f>352+10</f>
        <v>362</v>
      </c>
      <c r="J15" s="355">
        <f>17+156</f>
        <v>173</v>
      </c>
      <c r="K15" s="323">
        <f>360+3+2</f>
        <v>365</v>
      </c>
      <c r="L15" s="355">
        <v>200</v>
      </c>
      <c r="M15" s="323">
        <v>321</v>
      </c>
      <c r="N15" s="355">
        <v>157</v>
      </c>
      <c r="O15" s="323">
        <v>338</v>
      </c>
      <c r="P15" s="355">
        <v>151</v>
      </c>
      <c r="Q15" s="323">
        <v>342</v>
      </c>
      <c r="R15" s="355">
        <v>165</v>
      </c>
      <c r="S15" s="323">
        <v>316</v>
      </c>
      <c r="T15" s="355">
        <v>160</v>
      </c>
      <c r="U15" s="323">
        <v>327</v>
      </c>
      <c r="V15" s="1158"/>
      <c r="X15" s="630">
        <f t="shared" ref="X15:Y15" si="1">AVERAGE(S15,Q15,O15,M15,U15)</f>
        <v>328.8</v>
      </c>
      <c r="Y15" s="598">
        <f t="shared" si="1"/>
        <v>158.25</v>
      </c>
    </row>
    <row r="16" spans="1:26" ht="12" hidden="1" x14ac:dyDescent="0.2">
      <c r="B16" s="47" t="s">
        <v>32</v>
      </c>
      <c r="C16" s="371">
        <v>1</v>
      </c>
      <c r="D16" s="131">
        <v>0</v>
      </c>
      <c r="E16" s="420">
        <v>2</v>
      </c>
      <c r="F16" s="426">
        <v>0</v>
      </c>
      <c r="G16" s="371">
        <v>1</v>
      </c>
      <c r="H16" s="426">
        <v>0</v>
      </c>
      <c r="I16" s="371">
        <v>1</v>
      </c>
      <c r="J16" s="131">
        <v>0</v>
      </c>
      <c r="K16" s="716"/>
      <c r="L16" s="886"/>
      <c r="M16" s="716"/>
      <c r="N16" s="886"/>
      <c r="O16" s="716"/>
      <c r="P16" s="886"/>
      <c r="Q16" s="716"/>
      <c r="R16" s="131"/>
      <c r="S16" s="716"/>
      <c r="T16" s="131"/>
      <c r="U16" s="716"/>
      <c r="V16" s="1156"/>
      <c r="X16" s="630" t="e">
        <f t="shared" ref="X16:X19" si="2">AVERAGE(S16,Q16,O16,M16,K16)</f>
        <v>#DIV/0!</v>
      </c>
      <c r="Y16" s="598">
        <f t="shared" ref="Y16:Y19" si="3">AVERAGE(N16,R16,P16,L16,J16)</f>
        <v>0</v>
      </c>
    </row>
    <row r="17" spans="2:25" ht="12" x14ac:dyDescent="0.2">
      <c r="B17" s="330" t="s">
        <v>41</v>
      </c>
      <c r="C17" s="118"/>
      <c r="D17" s="119"/>
      <c r="E17" s="120"/>
      <c r="F17" s="374"/>
      <c r="G17" s="118"/>
      <c r="H17" s="374"/>
      <c r="I17" s="118"/>
      <c r="J17" s="119"/>
      <c r="K17" s="120"/>
      <c r="L17" s="119"/>
      <c r="M17" s="120"/>
      <c r="N17" s="119"/>
      <c r="O17" s="120"/>
      <c r="P17" s="119"/>
      <c r="Q17" s="120"/>
      <c r="R17" s="119"/>
      <c r="S17" s="120"/>
      <c r="T17" s="119"/>
      <c r="U17" s="120"/>
      <c r="V17" s="1157"/>
      <c r="X17" s="630"/>
      <c r="Y17" s="598"/>
    </row>
    <row r="18" spans="2:25" ht="12" x14ac:dyDescent="0.2">
      <c r="B18" s="47" t="s">
        <v>145</v>
      </c>
      <c r="C18" s="371">
        <v>233</v>
      </c>
      <c r="D18" s="419">
        <v>117</v>
      </c>
      <c r="E18" s="420">
        <v>213</v>
      </c>
      <c r="F18" s="392">
        <f>41+67+1</f>
        <v>109</v>
      </c>
      <c r="G18" s="130">
        <v>243</v>
      </c>
      <c r="H18" s="392">
        <f>122+1</f>
        <v>123</v>
      </c>
      <c r="I18" s="130">
        <f>210+18</f>
        <v>228</v>
      </c>
      <c r="J18" s="419">
        <v>120</v>
      </c>
      <c r="K18" s="323">
        <v>210</v>
      </c>
      <c r="L18" s="419">
        <v>112</v>
      </c>
      <c r="M18" s="323">
        <v>195</v>
      </c>
      <c r="N18" s="419">
        <v>104</v>
      </c>
      <c r="O18" s="323">
        <v>213</v>
      </c>
      <c r="P18" s="419">
        <v>113</v>
      </c>
      <c r="Q18" s="323">
        <v>206</v>
      </c>
      <c r="R18" s="419">
        <v>116</v>
      </c>
      <c r="S18" s="323">
        <v>160</v>
      </c>
      <c r="T18" s="419">
        <v>95</v>
      </c>
      <c r="U18" s="323">
        <v>158</v>
      </c>
      <c r="V18" s="1159"/>
      <c r="X18" s="630">
        <f t="shared" ref="X18:Y18" si="4">AVERAGE(S18,Q18,O18,M18,U18)</f>
        <v>186.4</v>
      </c>
      <c r="Y18" s="598">
        <f t="shared" si="4"/>
        <v>107</v>
      </c>
    </row>
    <row r="19" spans="2:25" ht="12" hidden="1" x14ac:dyDescent="0.2">
      <c r="B19" s="47" t="s">
        <v>32</v>
      </c>
      <c r="C19" s="371">
        <v>2</v>
      </c>
      <c r="D19" s="419">
        <v>0</v>
      </c>
      <c r="E19" s="420">
        <v>1</v>
      </c>
      <c r="F19" s="392">
        <v>0</v>
      </c>
      <c r="G19" s="130">
        <v>1</v>
      </c>
      <c r="H19" s="392">
        <v>0</v>
      </c>
      <c r="I19" s="433"/>
      <c r="J19" s="783"/>
      <c r="K19" s="504"/>
      <c r="L19" s="783"/>
      <c r="M19" s="504"/>
      <c r="N19" s="783"/>
      <c r="O19" s="504"/>
      <c r="P19" s="783"/>
      <c r="Q19" s="504"/>
      <c r="R19" s="419"/>
      <c r="S19" s="504"/>
      <c r="T19" s="419"/>
      <c r="U19" s="504"/>
      <c r="V19" s="1159"/>
      <c r="X19" s="630" t="e">
        <f t="shared" si="2"/>
        <v>#DIV/0!</v>
      </c>
      <c r="Y19" s="598" t="e">
        <f t="shared" si="3"/>
        <v>#DIV/0!</v>
      </c>
    </row>
    <row r="20" spans="2:25" ht="12" x14ac:dyDescent="0.2">
      <c r="B20" s="102" t="s">
        <v>192</v>
      </c>
      <c r="C20" s="434"/>
      <c r="D20" s="435"/>
      <c r="E20" s="1169"/>
      <c r="F20" s="1170"/>
      <c r="G20" s="1171"/>
      <c r="H20" s="1170"/>
      <c r="I20" s="1171"/>
      <c r="J20" s="1118"/>
      <c r="K20" s="1117"/>
      <c r="L20" s="1118"/>
      <c r="M20" s="1117"/>
      <c r="N20" s="1118"/>
      <c r="O20" s="1117"/>
      <c r="P20" s="1118"/>
      <c r="Q20" s="120">
        <v>1</v>
      </c>
      <c r="R20" s="435">
        <v>0</v>
      </c>
      <c r="S20" s="120">
        <v>0</v>
      </c>
      <c r="T20" s="435">
        <v>0</v>
      </c>
      <c r="U20" s="120">
        <v>0</v>
      </c>
      <c r="V20" s="1160"/>
      <c r="X20" s="630">
        <f t="shared" ref="X20:X22" si="5">AVERAGE(S20,Q20,O20,M20,U20)</f>
        <v>0.33333333333333331</v>
      </c>
      <c r="Y20" s="598"/>
    </row>
    <row r="21" spans="2:25" ht="12" x14ac:dyDescent="0.2">
      <c r="B21" s="102" t="s">
        <v>178</v>
      </c>
      <c r="C21" s="1130"/>
      <c r="D21" s="1131"/>
      <c r="E21" s="1132"/>
      <c r="F21" s="1133"/>
      <c r="G21" s="1134"/>
      <c r="H21" s="1133"/>
      <c r="I21" s="118">
        <v>2</v>
      </c>
      <c r="J21" s="435">
        <v>0</v>
      </c>
      <c r="K21" s="120">
        <v>8</v>
      </c>
      <c r="L21" s="435">
        <v>9</v>
      </c>
      <c r="M21" s="120">
        <v>23</v>
      </c>
      <c r="N21" s="435">
        <v>7</v>
      </c>
      <c r="O21" s="120">
        <v>20</v>
      </c>
      <c r="P21" s="435"/>
      <c r="Q21" s="120">
        <v>12</v>
      </c>
      <c r="R21" s="435">
        <v>11</v>
      </c>
      <c r="S21" s="120">
        <v>14</v>
      </c>
      <c r="T21" s="435">
        <v>9</v>
      </c>
      <c r="U21" s="120">
        <v>15</v>
      </c>
      <c r="V21" s="1160"/>
      <c r="X21" s="630">
        <f t="shared" si="5"/>
        <v>16.8</v>
      </c>
      <c r="Y21" s="598">
        <f t="shared" ref="Y21:Y22" si="6">AVERAGE(T21,R21,P21,N21,V21)</f>
        <v>9</v>
      </c>
    </row>
    <row r="22" spans="2:25" ht="12" x14ac:dyDescent="0.2">
      <c r="B22" s="102" t="s">
        <v>177</v>
      </c>
      <c r="C22" s="434">
        <v>0</v>
      </c>
      <c r="D22" s="435">
        <v>0</v>
      </c>
      <c r="E22" s="436">
        <v>1</v>
      </c>
      <c r="F22" s="437">
        <v>0</v>
      </c>
      <c r="G22" s="118">
        <v>0</v>
      </c>
      <c r="H22" s="437">
        <v>0</v>
      </c>
      <c r="I22" s="118">
        <v>0</v>
      </c>
      <c r="J22" s="435">
        <v>8</v>
      </c>
      <c r="K22" s="120">
        <v>0</v>
      </c>
      <c r="L22" s="435">
        <v>1</v>
      </c>
      <c r="M22" s="120">
        <v>1</v>
      </c>
      <c r="N22" s="435">
        <v>0</v>
      </c>
      <c r="O22" s="120">
        <v>0</v>
      </c>
      <c r="P22" s="435"/>
      <c r="Q22" s="1167"/>
      <c r="R22" s="1160"/>
      <c r="S22" s="1167"/>
      <c r="T22" s="1160"/>
      <c r="U22" s="1167"/>
      <c r="V22" s="1160"/>
      <c r="X22" s="630">
        <f t="shared" si="5"/>
        <v>0.5</v>
      </c>
      <c r="Y22" s="598">
        <f t="shared" si="6"/>
        <v>0</v>
      </c>
    </row>
    <row r="23" spans="2:25" ht="12" x14ac:dyDescent="0.2">
      <c r="B23" s="330" t="s">
        <v>201</v>
      </c>
      <c r="C23" s="434"/>
      <c r="D23" s="435"/>
      <c r="E23" s="436"/>
      <c r="F23" s="437"/>
      <c r="G23" s="118"/>
      <c r="H23" s="437"/>
      <c r="I23" s="118"/>
      <c r="J23" s="435"/>
      <c r="K23" s="120"/>
      <c r="L23" s="435"/>
      <c r="M23" s="120"/>
      <c r="N23" s="435"/>
      <c r="O23" s="120"/>
      <c r="P23" s="435"/>
      <c r="Q23" s="120"/>
      <c r="R23" s="435"/>
      <c r="S23" s="120"/>
      <c r="T23" s="435"/>
      <c r="U23" s="120"/>
      <c r="V23" s="435"/>
      <c r="X23" s="630"/>
      <c r="Y23" s="598"/>
    </row>
    <row r="24" spans="2:25" ht="12" x14ac:dyDescent="0.2">
      <c r="B24" s="102" t="s">
        <v>200</v>
      </c>
      <c r="C24" s="434"/>
      <c r="D24" s="435"/>
      <c r="E24" s="1169"/>
      <c r="F24" s="1170"/>
      <c r="G24" s="1171"/>
      <c r="H24" s="1170"/>
      <c r="I24" s="1171"/>
      <c r="J24" s="1118"/>
      <c r="K24" s="1117"/>
      <c r="L24" s="1118"/>
      <c r="M24" s="1117"/>
      <c r="N24" s="1118"/>
      <c r="O24" s="1117"/>
      <c r="P24" s="1118"/>
      <c r="Q24" s="120">
        <v>2</v>
      </c>
      <c r="R24" s="435">
        <v>0</v>
      </c>
      <c r="S24" s="120">
        <v>0</v>
      </c>
      <c r="T24" s="435">
        <v>0</v>
      </c>
      <c r="U24" s="120">
        <v>3</v>
      </c>
      <c r="V24" s="1160"/>
      <c r="X24" s="630">
        <f>AVERAGE(S24,Q24,O24,M24,U24)</f>
        <v>1.6666666666666667</v>
      </c>
      <c r="Y24" s="598"/>
    </row>
    <row r="25" spans="2:25" ht="12" x14ac:dyDescent="0.2">
      <c r="B25" s="327" t="s">
        <v>97</v>
      </c>
      <c r="C25" s="434"/>
      <c r="D25" s="435"/>
      <c r="E25" s="436"/>
      <c r="F25" s="437"/>
      <c r="G25" s="118"/>
      <c r="H25" s="437"/>
      <c r="I25" s="118"/>
      <c r="J25" s="435"/>
      <c r="K25" s="120"/>
      <c r="L25" s="435"/>
      <c r="M25" s="120"/>
      <c r="N25" s="435"/>
      <c r="O25" s="120"/>
      <c r="P25" s="435"/>
      <c r="Q25" s="120"/>
      <c r="R25" s="435"/>
      <c r="S25" s="120"/>
      <c r="T25" s="435"/>
      <c r="U25" s="120"/>
      <c r="V25" s="1160"/>
      <c r="X25" s="630"/>
      <c r="Y25" s="598"/>
    </row>
    <row r="26" spans="2:25" ht="12" x14ac:dyDescent="0.2">
      <c r="B26" s="102" t="s">
        <v>145</v>
      </c>
      <c r="C26" s="434">
        <v>13</v>
      </c>
      <c r="D26" s="435">
        <v>5</v>
      </c>
      <c r="E26" s="436">
        <v>13</v>
      </c>
      <c r="F26" s="437">
        <v>10</v>
      </c>
      <c r="G26" s="118">
        <v>12</v>
      </c>
      <c r="H26" s="437">
        <v>4</v>
      </c>
      <c r="I26" s="118">
        <f>14</f>
        <v>14</v>
      </c>
      <c r="J26" s="435">
        <v>9</v>
      </c>
      <c r="K26" s="120">
        <v>17</v>
      </c>
      <c r="L26" s="435">
        <v>10</v>
      </c>
      <c r="M26" s="120">
        <v>14</v>
      </c>
      <c r="N26" s="435">
        <v>11</v>
      </c>
      <c r="O26" s="120">
        <v>12</v>
      </c>
      <c r="P26" s="435">
        <v>12</v>
      </c>
      <c r="Q26" s="120">
        <v>13</v>
      </c>
      <c r="R26" s="435">
        <v>8</v>
      </c>
      <c r="S26" s="120">
        <v>10</v>
      </c>
      <c r="T26" s="435">
        <v>5</v>
      </c>
      <c r="U26" s="120">
        <v>12</v>
      </c>
      <c r="V26" s="1160"/>
      <c r="X26" s="630">
        <f t="shared" ref="X26:Y26" si="7">AVERAGE(S26,Q26,O26,M26,U26)</f>
        <v>12.2</v>
      </c>
      <c r="Y26" s="598">
        <f t="shared" si="7"/>
        <v>9</v>
      </c>
    </row>
    <row r="27" spans="2:25" ht="12" x14ac:dyDescent="0.2">
      <c r="B27" s="330" t="s">
        <v>43</v>
      </c>
      <c r="C27" s="434"/>
      <c r="D27" s="435"/>
      <c r="E27" s="436"/>
      <c r="F27" s="437"/>
      <c r="G27" s="118"/>
      <c r="H27" s="437"/>
      <c r="I27" s="118"/>
      <c r="J27" s="435"/>
      <c r="K27" s="120"/>
      <c r="L27" s="435"/>
      <c r="M27" s="120"/>
      <c r="N27" s="435"/>
      <c r="O27" s="120"/>
      <c r="P27" s="435"/>
      <c r="Q27" s="120"/>
      <c r="R27" s="435"/>
      <c r="S27" s="120"/>
      <c r="T27" s="435"/>
      <c r="U27" s="120"/>
      <c r="V27" s="1160"/>
      <c r="X27" s="630"/>
      <c r="Y27" s="598"/>
    </row>
    <row r="28" spans="2:25" ht="12" x14ac:dyDescent="0.2">
      <c r="B28" s="128" t="s">
        <v>145</v>
      </c>
      <c r="C28" s="107">
        <v>57</v>
      </c>
      <c r="D28" s="438">
        <v>8</v>
      </c>
      <c r="E28" s="108">
        <v>65</v>
      </c>
      <c r="F28" s="439">
        <v>13</v>
      </c>
      <c r="G28" s="124">
        <v>68</v>
      </c>
      <c r="H28" s="439">
        <v>9</v>
      </c>
      <c r="I28" s="124">
        <f>79+2</f>
        <v>81</v>
      </c>
      <c r="J28" s="438">
        <v>11</v>
      </c>
      <c r="K28" s="126">
        <v>86</v>
      </c>
      <c r="L28" s="438">
        <v>12</v>
      </c>
      <c r="M28" s="126">
        <v>78</v>
      </c>
      <c r="N28" s="438">
        <v>26</v>
      </c>
      <c r="O28" s="126">
        <v>62</v>
      </c>
      <c r="P28" s="438">
        <v>11</v>
      </c>
      <c r="Q28" s="126">
        <v>63</v>
      </c>
      <c r="R28" s="438">
        <v>12</v>
      </c>
      <c r="S28" s="126">
        <v>68</v>
      </c>
      <c r="T28" s="438">
        <v>9</v>
      </c>
      <c r="U28" s="126">
        <v>72</v>
      </c>
      <c r="V28" s="1161"/>
      <c r="X28" s="630">
        <f t="shared" ref="X28:Y28" si="8">AVERAGE(S28,Q28,O28,M28,U28)</f>
        <v>68.599999999999994</v>
      </c>
      <c r="Y28" s="598">
        <f t="shared" si="8"/>
        <v>14.5</v>
      </c>
    </row>
    <row r="29" spans="2:25" ht="12" x14ac:dyDescent="0.2">
      <c r="B29" s="328" t="s">
        <v>175</v>
      </c>
      <c r="C29" s="371"/>
      <c r="D29" s="419"/>
      <c r="E29" s="420"/>
      <c r="F29" s="392"/>
      <c r="G29" s="130"/>
      <c r="H29" s="392"/>
      <c r="I29" s="130"/>
      <c r="J29" s="419"/>
      <c r="K29" s="323"/>
      <c r="L29" s="419"/>
      <c r="M29" s="323"/>
      <c r="N29" s="419"/>
      <c r="O29" s="323"/>
      <c r="P29" s="419"/>
      <c r="Q29" s="323"/>
      <c r="R29" s="419"/>
      <c r="S29" s="323"/>
      <c r="T29" s="419"/>
      <c r="U29" s="323"/>
      <c r="V29" s="1159"/>
      <c r="X29" s="630"/>
      <c r="Y29" s="598"/>
    </row>
    <row r="30" spans="2:25" thickBot="1" x14ac:dyDescent="0.25">
      <c r="B30" s="329" t="s">
        <v>145</v>
      </c>
      <c r="C30" s="133">
        <v>54</v>
      </c>
      <c r="D30" s="421">
        <v>13</v>
      </c>
      <c r="E30" s="440">
        <v>47</v>
      </c>
      <c r="F30" s="441">
        <v>10</v>
      </c>
      <c r="G30" s="300">
        <v>35</v>
      </c>
      <c r="H30" s="441">
        <v>8</v>
      </c>
      <c r="I30" s="300">
        <f>42</f>
        <v>42</v>
      </c>
      <c r="J30" s="421">
        <v>7</v>
      </c>
      <c r="K30" s="324">
        <v>52</v>
      </c>
      <c r="L30" s="970">
        <v>8</v>
      </c>
      <c r="M30" s="324">
        <v>47</v>
      </c>
      <c r="N30" s="970">
        <v>14</v>
      </c>
      <c r="O30" s="324">
        <v>29</v>
      </c>
      <c r="P30" s="970">
        <v>4</v>
      </c>
      <c r="Q30" s="324">
        <v>26</v>
      </c>
      <c r="R30" s="970">
        <v>6</v>
      </c>
      <c r="S30" s="324">
        <v>27</v>
      </c>
      <c r="T30" s="970">
        <v>3</v>
      </c>
      <c r="U30" s="324">
        <v>36</v>
      </c>
      <c r="V30" s="1162"/>
      <c r="X30" s="630">
        <f t="shared" ref="X30:Y30" si="9">AVERAGE(S30,Q30,O30,M30,U30)</f>
        <v>33</v>
      </c>
      <c r="Y30" s="598">
        <f t="shared" si="9"/>
        <v>6.75</v>
      </c>
    </row>
    <row r="31" spans="2:25" thickTop="1" x14ac:dyDescent="0.2">
      <c r="B31" s="135" t="s">
        <v>108</v>
      </c>
      <c r="C31" s="138"/>
      <c r="D31" s="137"/>
      <c r="E31" s="138"/>
      <c r="F31" s="137"/>
      <c r="G31" s="138"/>
      <c r="H31" s="137"/>
      <c r="I31" s="496"/>
      <c r="J31" s="137"/>
      <c r="K31" s="496"/>
      <c r="L31" s="137"/>
      <c r="M31" s="496"/>
      <c r="N31" s="137"/>
      <c r="O31" s="496"/>
      <c r="P31" s="137"/>
      <c r="Q31" s="496"/>
      <c r="R31" s="137"/>
      <c r="S31" s="496"/>
      <c r="T31" s="137"/>
      <c r="U31" s="496"/>
      <c r="V31" s="137"/>
      <c r="X31" s="627"/>
      <c r="Y31" s="627"/>
    </row>
    <row r="32" spans="2:25" thickBot="1" x14ac:dyDescent="0.25">
      <c r="B32" s="1" t="s">
        <v>176</v>
      </c>
      <c r="C32" s="138"/>
      <c r="D32" s="137"/>
      <c r="E32" s="138"/>
      <c r="F32" s="137"/>
      <c r="G32" s="138"/>
      <c r="H32" s="137"/>
      <c r="I32" s="138"/>
      <c r="J32" s="137"/>
      <c r="K32" s="138"/>
      <c r="L32" s="137"/>
      <c r="M32" s="138"/>
      <c r="N32" s="137"/>
      <c r="O32" s="138"/>
      <c r="P32" s="137"/>
      <c r="Q32" s="138"/>
      <c r="R32" s="137"/>
      <c r="S32" s="138"/>
      <c r="T32" s="137"/>
      <c r="U32" s="138"/>
      <c r="V32" s="137"/>
      <c r="X32" s="580"/>
      <c r="Y32" s="580"/>
    </row>
    <row r="33" spans="1:28" ht="14.25" customHeight="1" thickTop="1" thickBot="1" x14ac:dyDescent="0.25">
      <c r="B33" s="270"/>
      <c r="C33" s="1231" t="s">
        <v>89</v>
      </c>
      <c r="D33" s="1221"/>
      <c r="E33" s="1220" t="s">
        <v>99</v>
      </c>
      <c r="F33" s="1220"/>
      <c r="G33" s="1231" t="s">
        <v>101</v>
      </c>
      <c r="H33" s="1220"/>
      <c r="I33" s="1231" t="s">
        <v>106</v>
      </c>
      <c r="J33" s="1221"/>
      <c r="K33" s="1220" t="s">
        <v>155</v>
      </c>
      <c r="L33" s="1221"/>
      <c r="M33" s="1220" t="s">
        <v>160</v>
      </c>
      <c r="N33" s="1221"/>
      <c r="O33" s="1220" t="s">
        <v>179</v>
      </c>
      <c r="P33" s="1221"/>
      <c r="Q33" s="1220" t="s">
        <v>189</v>
      </c>
      <c r="R33" s="1221"/>
      <c r="S33" s="1220" t="s">
        <v>194</v>
      </c>
      <c r="T33" s="1221"/>
      <c r="U33" s="1220" t="s">
        <v>198</v>
      </c>
      <c r="V33" s="1221"/>
      <c r="X33" s="1276" t="s">
        <v>142</v>
      </c>
      <c r="Y33" s="1277"/>
    </row>
    <row r="34" spans="1:28" ht="12" x14ac:dyDescent="0.2">
      <c r="B34" s="45" t="s">
        <v>7</v>
      </c>
      <c r="C34" s="229"/>
      <c r="D34" s="339"/>
      <c r="E34" s="207"/>
      <c r="F34" s="207"/>
      <c r="G34" s="229"/>
      <c r="H34" s="207"/>
      <c r="I34" s="229"/>
      <c r="J34" s="339"/>
      <c r="K34" s="207"/>
      <c r="L34" s="339"/>
      <c r="M34" s="207"/>
      <c r="N34" s="339"/>
      <c r="O34" s="207"/>
      <c r="P34" s="339"/>
      <c r="Q34" s="207"/>
      <c r="R34" s="339"/>
      <c r="S34" s="207"/>
      <c r="T34" s="339"/>
      <c r="U34" s="207"/>
      <c r="V34" s="339"/>
      <c r="X34" s="599"/>
      <c r="Y34" s="609"/>
    </row>
    <row r="35" spans="1:28" ht="12" x14ac:dyDescent="0.2">
      <c r="B35" s="50" t="s">
        <v>8</v>
      </c>
      <c r="C35" s="228"/>
      <c r="D35" s="360"/>
      <c r="E35" s="208"/>
      <c r="F35" s="208"/>
      <c r="G35" s="228"/>
      <c r="H35" s="208"/>
      <c r="I35" s="228"/>
      <c r="J35" s="360"/>
      <c r="K35" s="208"/>
      <c r="L35" s="360"/>
      <c r="M35" s="208"/>
      <c r="N35" s="360"/>
      <c r="O35" s="208"/>
      <c r="P35" s="360"/>
      <c r="Q35" s="208"/>
      <c r="R35" s="360"/>
      <c r="S35" s="208"/>
      <c r="T35" s="360"/>
      <c r="U35" s="208"/>
      <c r="V35" s="360"/>
      <c r="X35" s="599"/>
      <c r="Y35" s="609"/>
    </row>
    <row r="36" spans="1:28" ht="12" x14ac:dyDescent="0.2">
      <c r="B36" s="50" t="s">
        <v>9</v>
      </c>
      <c r="C36" s="228"/>
      <c r="D36" s="340">
        <v>1439</v>
      </c>
      <c r="E36" s="208"/>
      <c r="F36" s="313">
        <v>1645</v>
      </c>
      <c r="G36" s="228"/>
      <c r="H36" s="313">
        <v>1623</v>
      </c>
      <c r="I36" s="228"/>
      <c r="J36" s="340">
        <v>1816</v>
      </c>
      <c r="K36" s="208"/>
      <c r="L36" s="340">
        <v>2215</v>
      </c>
      <c r="M36" s="208"/>
      <c r="N36" s="340">
        <v>1958</v>
      </c>
      <c r="O36" s="208"/>
      <c r="P36" s="340">
        <v>1878</v>
      </c>
      <c r="Q36" s="208"/>
      <c r="R36" s="340">
        <v>1907</v>
      </c>
      <c r="S36" s="208"/>
      <c r="T36" s="340">
        <v>1809</v>
      </c>
      <c r="U36" s="208"/>
      <c r="V36" s="1186"/>
      <c r="X36" s="599"/>
      <c r="Y36" s="608">
        <f t="shared" ref="Y36:Y40" si="10">AVERAGE(T36,R36,P36,N36,V36)</f>
        <v>1888</v>
      </c>
    </row>
    <row r="37" spans="1:28" ht="12" x14ac:dyDescent="0.2">
      <c r="B37" s="50" t="s">
        <v>10</v>
      </c>
      <c r="C37" s="228"/>
      <c r="D37" s="340">
        <v>13477</v>
      </c>
      <c r="E37" s="208"/>
      <c r="F37" s="313">
        <v>12986</v>
      </c>
      <c r="G37" s="228"/>
      <c r="H37" s="313">
        <v>13210</v>
      </c>
      <c r="I37" s="228"/>
      <c r="J37" s="340">
        <v>12444</v>
      </c>
      <c r="K37" s="208"/>
      <c r="L37" s="340">
        <v>13189</v>
      </c>
      <c r="M37" s="208"/>
      <c r="N37" s="340">
        <v>12121</v>
      </c>
      <c r="O37" s="208"/>
      <c r="P37" s="340">
        <v>12437</v>
      </c>
      <c r="Q37" s="208"/>
      <c r="R37" s="340">
        <v>11888</v>
      </c>
      <c r="S37" s="208"/>
      <c r="T37" s="340">
        <v>10533</v>
      </c>
      <c r="U37" s="208"/>
      <c r="V37" s="1186"/>
      <c r="X37" s="599"/>
      <c r="Y37" s="608">
        <f t="shared" si="10"/>
        <v>11744.75</v>
      </c>
    </row>
    <row r="38" spans="1:28" ht="12" x14ac:dyDescent="0.2">
      <c r="B38" s="50" t="s">
        <v>11</v>
      </c>
      <c r="C38" s="228"/>
      <c r="D38" s="340">
        <v>7171</v>
      </c>
      <c r="E38" s="208"/>
      <c r="F38" s="313">
        <v>6828</v>
      </c>
      <c r="G38" s="228"/>
      <c r="H38" s="313">
        <v>7931</v>
      </c>
      <c r="I38" s="228"/>
      <c r="J38" s="340">
        <f>7093+51</f>
        <v>7144</v>
      </c>
      <c r="K38" s="208"/>
      <c r="L38" s="340">
        <f>5438+57</f>
        <v>5495</v>
      </c>
      <c r="M38" s="208"/>
      <c r="N38" s="340">
        <v>4360</v>
      </c>
      <c r="O38" s="208"/>
      <c r="P38" s="340">
        <v>3475</v>
      </c>
      <c r="Q38" s="208"/>
      <c r="R38" s="340">
        <v>2906</v>
      </c>
      <c r="S38" s="208"/>
      <c r="T38" s="340">
        <v>2969</v>
      </c>
      <c r="U38" s="208"/>
      <c r="V38" s="1186"/>
      <c r="X38" s="87"/>
      <c r="Y38" s="608">
        <f t="shared" si="10"/>
        <v>3427.5</v>
      </c>
    </row>
    <row r="39" spans="1:28" ht="12" x14ac:dyDescent="0.2">
      <c r="B39" s="50" t="s">
        <v>12</v>
      </c>
      <c r="C39" s="228"/>
      <c r="D39" s="340">
        <v>918</v>
      </c>
      <c r="E39" s="208"/>
      <c r="F39" s="313">
        <v>803</v>
      </c>
      <c r="G39" s="228"/>
      <c r="H39" s="313">
        <v>816</v>
      </c>
      <c r="I39" s="228"/>
      <c r="J39" s="340">
        <v>795</v>
      </c>
      <c r="K39" s="208"/>
      <c r="L39" s="340">
        <v>716</v>
      </c>
      <c r="M39" s="208"/>
      <c r="N39" s="340">
        <v>662</v>
      </c>
      <c r="O39" s="208"/>
      <c r="P39" s="340">
        <v>548</v>
      </c>
      <c r="Q39" s="208"/>
      <c r="R39" s="340">
        <v>707</v>
      </c>
      <c r="S39" s="208"/>
      <c r="T39" s="340">
        <v>628</v>
      </c>
      <c r="U39" s="208"/>
      <c r="V39" s="1186"/>
      <c r="X39" s="87"/>
      <c r="Y39" s="608">
        <f t="shared" si="10"/>
        <v>636.25</v>
      </c>
    </row>
    <row r="40" spans="1:28" thickBot="1" x14ac:dyDescent="0.25">
      <c r="B40" s="51" t="s">
        <v>13</v>
      </c>
      <c r="C40" s="310"/>
      <c r="D40" s="471">
        <f>SUM(D36:D39)</f>
        <v>23005</v>
      </c>
      <c r="E40" s="209"/>
      <c r="F40" s="379">
        <f>SUM(F36:F39)</f>
        <v>22262</v>
      </c>
      <c r="G40" s="256"/>
      <c r="H40" s="389">
        <f>SUM(H36:H39)</f>
        <v>23580</v>
      </c>
      <c r="I40" s="256"/>
      <c r="J40" s="389">
        <f>SUM(J36:J39)</f>
        <v>22199</v>
      </c>
      <c r="K40" s="256"/>
      <c r="L40" s="351">
        <f>SUM(L36:L39)</f>
        <v>21615</v>
      </c>
      <c r="M40" s="361"/>
      <c r="N40" s="351">
        <f>SUM(N36:N39)</f>
        <v>19101</v>
      </c>
      <c r="O40" s="361"/>
      <c r="P40" s="351">
        <f>SUM(P36:P39)</f>
        <v>18338</v>
      </c>
      <c r="Q40" s="361"/>
      <c r="R40" s="351">
        <f>SUM(R36:R39)</f>
        <v>17408</v>
      </c>
      <c r="S40" s="361"/>
      <c r="T40" s="351">
        <f>SUM(T36:T39)</f>
        <v>15939</v>
      </c>
      <c r="U40" s="361"/>
      <c r="V40" s="1188">
        <f>SUM(V36:V39)</f>
        <v>0</v>
      </c>
      <c r="X40" s="600"/>
      <c r="Y40" s="654">
        <f t="shared" si="10"/>
        <v>14157.2</v>
      </c>
      <c r="AA40" s="1" t="s">
        <v>20</v>
      </c>
    </row>
    <row r="41" spans="1:28" ht="14.25" thickTop="1" thickBot="1" x14ac:dyDescent="0.25">
      <c r="A41" s="430"/>
      <c r="B41" s="962" t="s">
        <v>141</v>
      </c>
      <c r="C41" s="1249" t="s">
        <v>110</v>
      </c>
      <c r="D41" s="1222"/>
      <c r="E41" s="1249" t="s">
        <v>111</v>
      </c>
      <c r="F41" s="1252"/>
      <c r="G41" s="1249" t="s">
        <v>128</v>
      </c>
      <c r="H41" s="1252"/>
      <c r="I41" s="1254" t="s">
        <v>129</v>
      </c>
      <c r="J41" s="1282"/>
      <c r="K41" s="1218" t="s">
        <v>156</v>
      </c>
      <c r="L41" s="1222"/>
      <c r="M41" s="1218" t="s">
        <v>161</v>
      </c>
      <c r="N41" s="1222"/>
      <c r="O41" s="1218" t="s">
        <v>180</v>
      </c>
      <c r="P41" s="1222"/>
      <c r="Q41" s="1218" t="s">
        <v>190</v>
      </c>
      <c r="R41" s="1222"/>
      <c r="S41" s="1218" t="s">
        <v>195</v>
      </c>
      <c r="T41" s="1222"/>
      <c r="U41" s="1218" t="s">
        <v>199</v>
      </c>
      <c r="V41" s="1222"/>
      <c r="W41" s="625"/>
      <c r="X41" s="1255" t="s">
        <v>142</v>
      </c>
      <c r="Y41" s="1256"/>
      <c r="Z41" s="397"/>
      <c r="AA41" s="397"/>
      <c r="AB41" s="432"/>
    </row>
    <row r="42" spans="1:28" x14ac:dyDescent="0.2">
      <c r="A42" s="430"/>
      <c r="B42" s="842" t="s">
        <v>115</v>
      </c>
      <c r="C42" s="1232"/>
      <c r="D42" s="1268"/>
      <c r="E42" s="1269">
        <v>0.69699999999999995</v>
      </c>
      <c r="F42" s="1270"/>
      <c r="G42" s="835"/>
      <c r="H42" s="822">
        <v>0.79200000000000004</v>
      </c>
      <c r="I42" s="836"/>
      <c r="J42" s="756">
        <v>0.73699999999999999</v>
      </c>
      <c r="K42" s="767"/>
      <c r="L42" s="756">
        <v>0.627</v>
      </c>
      <c r="M42" s="767"/>
      <c r="N42" s="756">
        <v>0.59899999999999998</v>
      </c>
      <c r="O42" s="767"/>
      <c r="P42" s="756">
        <v>0.57299999999999995</v>
      </c>
      <c r="Q42" s="767"/>
      <c r="R42" s="756">
        <v>0.62</v>
      </c>
      <c r="S42" s="767"/>
      <c r="T42" s="756">
        <v>0.59299999999999997</v>
      </c>
      <c r="U42" s="767"/>
      <c r="V42" s="756">
        <v>0.55800000000000005</v>
      </c>
      <c r="W42" s="1070"/>
      <c r="X42" s="767"/>
      <c r="Y42" s="1071">
        <f t="shared" ref="Y42:Y44" si="11">AVERAGE(T42,R42,P42,N42,V42)</f>
        <v>0.5885999999999999</v>
      </c>
      <c r="Z42" s="397"/>
      <c r="AA42" s="397"/>
      <c r="AB42" s="432"/>
    </row>
    <row r="43" spans="1:28" x14ac:dyDescent="0.2">
      <c r="A43" s="430"/>
      <c r="B43" s="844" t="s">
        <v>116</v>
      </c>
      <c r="C43" s="1243"/>
      <c r="D43" s="1271"/>
      <c r="E43" s="1272">
        <v>9.2999999999999999E-2</v>
      </c>
      <c r="F43" s="1273"/>
      <c r="G43" s="837"/>
      <c r="H43" s="757">
        <v>9.1999999999999998E-2</v>
      </c>
      <c r="I43" s="837"/>
      <c r="J43" s="757">
        <v>7.5999999999999998E-2</v>
      </c>
      <c r="K43" s="768"/>
      <c r="L43" s="757">
        <v>5.5E-2</v>
      </c>
      <c r="M43" s="768"/>
      <c r="N43" s="757">
        <v>7.5999999999999998E-2</v>
      </c>
      <c r="O43" s="768"/>
      <c r="P43" s="757">
        <v>6.8000000000000005E-2</v>
      </c>
      <c r="Q43" s="768"/>
      <c r="R43" s="757">
        <v>7.4999999999999997E-2</v>
      </c>
      <c r="S43" s="768"/>
      <c r="T43" s="757">
        <v>0.08</v>
      </c>
      <c r="U43" s="768"/>
      <c r="V43" s="757">
        <v>0.13700000000000001</v>
      </c>
      <c r="W43" s="1070"/>
      <c r="X43" s="768"/>
      <c r="Y43" s="1071">
        <f t="shared" si="11"/>
        <v>8.72E-2</v>
      </c>
      <c r="Z43" s="397"/>
      <c r="AA43" s="397"/>
      <c r="AB43" s="432"/>
    </row>
    <row r="44" spans="1:28" thickBot="1" x14ac:dyDescent="0.25">
      <c r="B44" s="575" t="s">
        <v>117</v>
      </c>
      <c r="C44" s="1245"/>
      <c r="D44" s="1246"/>
      <c r="E44" s="1280">
        <v>0.21</v>
      </c>
      <c r="F44" s="1224"/>
      <c r="G44" s="1280">
        <v>0.11600000000000001</v>
      </c>
      <c r="H44" s="1224"/>
      <c r="I44" s="1280">
        <v>0.187</v>
      </c>
      <c r="J44" s="1224"/>
      <c r="K44" s="1223">
        <v>0.318</v>
      </c>
      <c r="L44" s="1224"/>
      <c r="M44" s="1223">
        <f>1-N42-N43</f>
        <v>0.32500000000000001</v>
      </c>
      <c r="N44" s="1224"/>
      <c r="O44" s="1223">
        <f>1-P42-P43</f>
        <v>0.35900000000000004</v>
      </c>
      <c r="P44" s="1224"/>
      <c r="Q44" s="1223">
        <f>1-R42-R43</f>
        <v>0.30499999999999999</v>
      </c>
      <c r="R44" s="1224"/>
      <c r="S44" s="1223">
        <f>1-T42-T43</f>
        <v>0.32700000000000001</v>
      </c>
      <c r="T44" s="1224"/>
      <c r="U44" s="1223">
        <f>1-V42-V43</f>
        <v>0.30499999999999994</v>
      </c>
      <c r="V44" s="1224"/>
      <c r="W44" s="1070"/>
      <c r="X44" s="1223">
        <f t="shared" ref="X44" si="12">AVERAGE(S44,Q44,O44,M44,U44)</f>
        <v>0.32419999999999999</v>
      </c>
      <c r="Y44" s="1283" t="e">
        <f t="shared" si="11"/>
        <v>#DIV/0!</v>
      </c>
      <c r="Z44" s="397"/>
      <c r="AA44" s="397"/>
      <c r="AB44" s="432"/>
    </row>
    <row r="45" spans="1:28" thickTop="1" x14ac:dyDescent="0.2">
      <c r="B45" s="92"/>
      <c r="C45" s="210"/>
      <c r="D45" s="211"/>
      <c r="E45" s="210"/>
      <c r="F45" s="211"/>
      <c r="G45" s="210"/>
      <c r="H45" s="211"/>
      <c r="I45" s="210"/>
      <c r="J45" s="211"/>
      <c r="K45" s="210"/>
      <c r="L45" s="211"/>
      <c r="M45" s="210"/>
      <c r="N45" s="211"/>
      <c r="O45" s="210"/>
      <c r="P45" s="211"/>
      <c r="Q45" s="210"/>
      <c r="R45" s="211"/>
      <c r="S45" s="210"/>
      <c r="T45" s="211"/>
      <c r="U45" s="210"/>
      <c r="V45" s="211"/>
    </row>
    <row r="46" spans="1:28" x14ac:dyDescent="0.2">
      <c r="A46" s="95" t="s">
        <v>45</v>
      </c>
      <c r="B46" s="82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</row>
    <row r="47" spans="1:28" ht="7.5" customHeight="1" thickBot="1" x14ac:dyDescent="0.25">
      <c r="A47" s="95"/>
      <c r="B47" s="82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</row>
    <row r="48" spans="1:28" ht="14.25" thickTop="1" thickBot="1" x14ac:dyDescent="0.25">
      <c r="A48" s="3"/>
      <c r="B48" s="271" t="s">
        <v>46</v>
      </c>
      <c r="C48" s="1231" t="s">
        <v>89</v>
      </c>
      <c r="D48" s="1221"/>
      <c r="E48" s="1231" t="s">
        <v>99</v>
      </c>
      <c r="F48" s="1220"/>
      <c r="G48" s="1231" t="s">
        <v>101</v>
      </c>
      <c r="H48" s="1220"/>
      <c r="I48" s="1231" t="s">
        <v>106</v>
      </c>
      <c r="J48" s="1221"/>
      <c r="K48" s="1220" t="s">
        <v>155</v>
      </c>
      <c r="L48" s="1221"/>
      <c r="M48" s="1220" t="s">
        <v>160</v>
      </c>
      <c r="N48" s="1221"/>
      <c r="O48" s="1220" t="s">
        <v>179</v>
      </c>
      <c r="P48" s="1221"/>
      <c r="Q48" s="1220" t="s">
        <v>189</v>
      </c>
      <c r="R48" s="1221"/>
      <c r="S48" s="1220" t="s">
        <v>194</v>
      </c>
      <c r="T48" s="1221"/>
      <c r="U48" s="1220" t="s">
        <v>198</v>
      </c>
      <c r="V48" s="1221"/>
      <c r="X48" s="1250" t="s">
        <v>142</v>
      </c>
      <c r="Y48" s="1251"/>
    </row>
    <row r="49" spans="1:25" x14ac:dyDescent="0.2">
      <c r="A49" s="3"/>
      <c r="B49" s="276" t="s">
        <v>47</v>
      </c>
      <c r="C49" s="169"/>
      <c r="D49" s="934"/>
      <c r="E49" s="207"/>
      <c r="F49" s="344"/>
      <c r="G49" s="207"/>
      <c r="H49" s="344"/>
      <c r="I49" s="207"/>
      <c r="J49" s="344"/>
      <c r="K49" s="207"/>
      <c r="L49" s="344"/>
      <c r="M49" s="207"/>
      <c r="N49" s="344"/>
      <c r="O49" s="207"/>
      <c r="P49" s="344"/>
      <c r="Q49" s="207"/>
      <c r="R49" s="344"/>
      <c r="S49" s="207"/>
      <c r="T49" s="344"/>
      <c r="U49" s="207"/>
      <c r="V49" s="344"/>
      <c r="X49" s="484"/>
      <c r="Y49" s="607"/>
    </row>
    <row r="50" spans="1:25" x14ac:dyDescent="0.2">
      <c r="A50" s="3"/>
      <c r="B50" s="273" t="s">
        <v>48</v>
      </c>
      <c r="C50" s="971"/>
      <c r="D50" s="937"/>
      <c r="E50" s="207"/>
      <c r="F50" s="238">
        <v>3168147</v>
      </c>
      <c r="G50" s="207"/>
      <c r="H50" s="238">
        <v>3205169</v>
      </c>
      <c r="I50" s="207"/>
      <c r="J50" s="238">
        <v>2832094</v>
      </c>
      <c r="K50" s="207"/>
      <c r="L50" s="238">
        <v>2809604</v>
      </c>
      <c r="M50" s="207"/>
      <c r="N50" s="238">
        <v>2896402</v>
      </c>
      <c r="O50" s="207"/>
      <c r="P50" s="238">
        <v>2993320</v>
      </c>
      <c r="Q50" s="207"/>
      <c r="R50" s="238">
        <v>2932797</v>
      </c>
      <c r="S50" s="207"/>
      <c r="T50" s="238">
        <v>2738074</v>
      </c>
      <c r="U50" s="207"/>
      <c r="V50" s="238">
        <v>2654805</v>
      </c>
      <c r="X50" s="599"/>
      <c r="Y50" s="631">
        <f>AVERAGE(T50,R50,P50,N50,V50)</f>
        <v>2843079.6</v>
      </c>
    </row>
    <row r="51" spans="1:25" x14ac:dyDescent="0.2">
      <c r="A51" s="3"/>
      <c r="B51" s="273" t="s">
        <v>166</v>
      </c>
      <c r="C51" s="971"/>
      <c r="D51" s="937"/>
      <c r="E51" s="207"/>
      <c r="F51" s="238"/>
      <c r="G51" s="207"/>
      <c r="H51" s="238"/>
      <c r="I51" s="207"/>
      <c r="J51" s="238"/>
      <c r="K51" s="207"/>
      <c r="L51" s="238"/>
      <c r="M51" s="207"/>
      <c r="N51" s="238"/>
      <c r="O51" s="207"/>
      <c r="P51" s="238"/>
      <c r="Q51" s="207"/>
      <c r="R51" s="238"/>
      <c r="S51" s="207"/>
      <c r="T51" s="238"/>
      <c r="U51" s="207"/>
      <c r="V51" s="238"/>
      <c r="X51" s="599"/>
      <c r="Y51" s="631"/>
    </row>
    <row r="52" spans="1:25" ht="25.5" customHeight="1" x14ac:dyDescent="0.2">
      <c r="A52" s="3"/>
      <c r="B52" s="274" t="s">
        <v>167</v>
      </c>
      <c r="C52" s="169"/>
      <c r="D52" s="938"/>
      <c r="E52" s="208"/>
      <c r="F52" s="239">
        <v>484110</v>
      </c>
      <c r="G52" s="208"/>
      <c r="H52" s="239">
        <v>486334</v>
      </c>
      <c r="I52" s="208"/>
      <c r="J52" s="239">
        <v>391291</v>
      </c>
      <c r="K52" s="208"/>
      <c r="L52" s="239">
        <v>553285</v>
      </c>
      <c r="M52" s="208"/>
      <c r="N52" s="239">
        <v>731553</v>
      </c>
      <c r="O52" s="208"/>
      <c r="P52" s="239">
        <v>754504</v>
      </c>
      <c r="Q52" s="208"/>
      <c r="R52" s="239">
        <v>210028</v>
      </c>
      <c r="S52" s="208"/>
      <c r="T52" s="239">
        <v>219325</v>
      </c>
      <c r="U52" s="208"/>
      <c r="V52" s="239">
        <v>281821</v>
      </c>
      <c r="X52" s="599"/>
      <c r="Y52" s="631">
        <f t="shared" ref="Y52:Y53" si="13">AVERAGE(T52,R52,P52,N52,V52)</f>
        <v>439446.2</v>
      </c>
    </row>
    <row r="53" spans="1:25" x14ac:dyDescent="0.2">
      <c r="A53" s="3"/>
      <c r="B53" s="275" t="s">
        <v>49</v>
      </c>
      <c r="C53" s="972"/>
      <c r="D53" s="940"/>
      <c r="E53" s="212"/>
      <c r="F53" s="240">
        <f>SUM(F50:F52)</f>
        <v>3652257</v>
      </c>
      <c r="G53" s="212"/>
      <c r="H53" s="240">
        <f>SUM(H50:H52)</f>
        <v>3691503</v>
      </c>
      <c r="I53" s="212"/>
      <c r="J53" s="240">
        <f>SUM(J50:J52)</f>
        <v>3223385</v>
      </c>
      <c r="K53" s="212"/>
      <c r="L53" s="240">
        <f>SUM(L50:L52)</f>
        <v>3362889</v>
      </c>
      <c r="M53" s="212"/>
      <c r="N53" s="240">
        <f>SUM(N50:N52)</f>
        <v>3627955</v>
      </c>
      <c r="O53" s="212"/>
      <c r="P53" s="240">
        <f>SUM(P50:P52)</f>
        <v>3747824</v>
      </c>
      <c r="Q53" s="212"/>
      <c r="R53" s="240">
        <f>SUM(R50:R52)</f>
        <v>3142825</v>
      </c>
      <c r="S53" s="212"/>
      <c r="T53" s="240">
        <f>SUM(T50:T52)</f>
        <v>2957399</v>
      </c>
      <c r="U53" s="212"/>
      <c r="V53" s="240">
        <f>SUM(V50:V52)</f>
        <v>2936626</v>
      </c>
      <c r="X53" s="599"/>
      <c r="Y53" s="719">
        <f t="shared" si="13"/>
        <v>3282525.8</v>
      </c>
    </row>
    <row r="54" spans="1:25" x14ac:dyDescent="0.2">
      <c r="A54" s="3"/>
      <c r="B54" s="276" t="s">
        <v>50</v>
      </c>
      <c r="C54" s="169"/>
      <c r="D54" s="938"/>
      <c r="E54" s="208"/>
      <c r="F54" s="239"/>
      <c r="G54" s="208"/>
      <c r="H54" s="239"/>
      <c r="I54" s="208"/>
      <c r="J54" s="239"/>
      <c r="K54" s="208"/>
      <c r="L54" s="239"/>
      <c r="M54" s="208"/>
      <c r="N54" s="239"/>
      <c r="O54" s="208"/>
      <c r="P54" s="239"/>
      <c r="Q54" s="208"/>
      <c r="R54" s="239"/>
      <c r="S54" s="208"/>
      <c r="T54" s="239"/>
      <c r="U54" s="208"/>
      <c r="V54" s="239"/>
      <c r="X54" s="599"/>
      <c r="Y54" s="631"/>
    </row>
    <row r="55" spans="1:25" x14ac:dyDescent="0.2">
      <c r="A55" s="3"/>
      <c r="B55" s="273" t="s">
        <v>48</v>
      </c>
      <c r="C55" s="169"/>
      <c r="D55" s="938"/>
      <c r="E55" s="208"/>
      <c r="F55" s="239"/>
      <c r="G55" s="208"/>
      <c r="H55" s="239"/>
      <c r="I55" s="208"/>
      <c r="J55" s="239"/>
      <c r="K55" s="208"/>
      <c r="L55" s="239"/>
      <c r="M55" s="208"/>
      <c r="N55" s="239"/>
      <c r="O55" s="208"/>
      <c r="P55" s="239"/>
      <c r="Q55" s="208"/>
      <c r="R55" s="239"/>
      <c r="S55" s="208"/>
      <c r="T55" s="239"/>
      <c r="U55" s="208"/>
      <c r="V55" s="239"/>
      <c r="X55" s="599"/>
      <c r="Y55" s="631"/>
    </row>
    <row r="56" spans="1:25" x14ac:dyDescent="0.2">
      <c r="A56" s="3"/>
      <c r="B56" s="273" t="s">
        <v>166</v>
      </c>
      <c r="C56" s="169"/>
      <c r="D56" s="938"/>
      <c r="E56" s="208"/>
      <c r="F56" s="239"/>
      <c r="G56" s="208"/>
      <c r="H56" s="239"/>
      <c r="I56" s="208"/>
      <c r="J56" s="239"/>
      <c r="K56" s="208"/>
      <c r="L56" s="239"/>
      <c r="M56" s="208"/>
      <c r="N56" s="239"/>
      <c r="O56" s="208"/>
      <c r="P56" s="239"/>
      <c r="Q56" s="208"/>
      <c r="R56" s="239"/>
      <c r="S56" s="208"/>
      <c r="T56" s="239"/>
      <c r="U56" s="208"/>
      <c r="V56" s="239"/>
      <c r="X56" s="599"/>
      <c r="Y56" s="631"/>
    </row>
    <row r="57" spans="1:25" ht="36" x14ac:dyDescent="0.2">
      <c r="A57" s="3"/>
      <c r="B57" s="274" t="s">
        <v>167</v>
      </c>
      <c r="C57" s="169"/>
      <c r="D57" s="938"/>
      <c r="E57" s="208"/>
      <c r="F57" s="239"/>
      <c r="G57" s="208"/>
      <c r="H57" s="239"/>
      <c r="I57" s="208"/>
      <c r="J57" s="239"/>
      <c r="K57" s="208"/>
      <c r="L57" s="239"/>
      <c r="M57" s="208"/>
      <c r="N57" s="239"/>
      <c r="O57" s="208"/>
      <c r="P57" s="239"/>
      <c r="Q57" s="208"/>
      <c r="R57" s="239"/>
      <c r="S57" s="208"/>
      <c r="T57" s="239"/>
      <c r="U57" s="208"/>
      <c r="V57" s="239"/>
      <c r="X57" s="599"/>
      <c r="Y57" s="631"/>
    </row>
    <row r="58" spans="1:25" x14ac:dyDescent="0.2">
      <c r="A58" s="3"/>
      <c r="B58" s="275" t="s">
        <v>51</v>
      </c>
      <c r="C58" s="972"/>
      <c r="D58" s="940"/>
      <c r="E58" s="212"/>
      <c r="F58" s="240">
        <f>SUM(F55:F57)</f>
        <v>0</v>
      </c>
      <c r="G58" s="212"/>
      <c r="H58" s="240">
        <f>SUM(H55:H57)</f>
        <v>0</v>
      </c>
      <c r="I58" s="212"/>
      <c r="J58" s="240">
        <f>SUM(J55:J57)</f>
        <v>0</v>
      </c>
      <c r="K58" s="212"/>
      <c r="L58" s="240">
        <f>SUM(L55:L57)</f>
        <v>0</v>
      </c>
      <c r="M58" s="212"/>
      <c r="N58" s="240">
        <f>SUM(N55:N57)</f>
        <v>0</v>
      </c>
      <c r="O58" s="212"/>
      <c r="P58" s="240">
        <f>SUM(P55:P57)</f>
        <v>0</v>
      </c>
      <c r="Q58" s="212"/>
      <c r="R58" s="240">
        <f>SUM(R55:R57)</f>
        <v>0</v>
      </c>
      <c r="S58" s="212"/>
      <c r="T58" s="240">
        <f>SUM(T55:T57)</f>
        <v>0</v>
      </c>
      <c r="U58" s="212"/>
      <c r="V58" s="240">
        <f>SUM(V55:V57)</f>
        <v>0</v>
      </c>
      <c r="X58" s="599"/>
      <c r="Y58" s="631">
        <f>AVERAGE(L58,T58,R58,P58,N58)</f>
        <v>0</v>
      </c>
    </row>
    <row r="59" spans="1:25" ht="13.5" thickBot="1" x14ac:dyDescent="0.25">
      <c r="A59" s="3"/>
      <c r="B59" s="277" t="s">
        <v>52</v>
      </c>
      <c r="C59" s="169"/>
      <c r="D59" s="940"/>
      <c r="E59" s="208"/>
      <c r="F59" s="789">
        <f>F53+F58</f>
        <v>3652257</v>
      </c>
      <c r="G59" s="208"/>
      <c r="H59" s="789">
        <f>H53+H58</f>
        <v>3691503</v>
      </c>
      <c r="I59" s="208"/>
      <c r="J59" s="789">
        <f>J53+J58</f>
        <v>3223385</v>
      </c>
      <c r="K59" s="208"/>
      <c r="L59" s="789">
        <f>L53+L58</f>
        <v>3362889</v>
      </c>
      <c r="M59" s="208"/>
      <c r="N59" s="789">
        <f>N53+N58</f>
        <v>3627955</v>
      </c>
      <c r="O59" s="208"/>
      <c r="P59" s="789">
        <f>P53+P58</f>
        <v>3747824</v>
      </c>
      <c r="Q59" s="208"/>
      <c r="R59" s="789">
        <f>R53+R58</f>
        <v>3142825</v>
      </c>
      <c r="S59" s="208"/>
      <c r="T59" s="789">
        <f>T53+T58</f>
        <v>2957399</v>
      </c>
      <c r="U59" s="208"/>
      <c r="V59" s="789">
        <f>V53+V58</f>
        <v>2936626</v>
      </c>
      <c r="X59" s="601"/>
      <c r="Y59" s="720">
        <f>AVERAGE(T59,R59,P59,N59,V59)</f>
        <v>3282525.8</v>
      </c>
    </row>
    <row r="60" spans="1:25" ht="12" x14ac:dyDescent="0.2">
      <c r="B60" s="278" t="s">
        <v>173</v>
      </c>
      <c r="C60" s="973"/>
      <c r="D60" s="942"/>
      <c r="E60" s="213"/>
      <c r="F60" s="213"/>
      <c r="G60" s="231"/>
      <c r="H60" s="213"/>
      <c r="I60" s="231"/>
      <c r="J60" s="344"/>
      <c r="K60" s="213"/>
      <c r="L60" s="344"/>
      <c r="M60" s="213"/>
      <c r="N60" s="344"/>
      <c r="O60" s="213"/>
      <c r="P60" s="344"/>
      <c r="Q60" s="213"/>
      <c r="R60" s="344"/>
      <c r="S60" s="213"/>
      <c r="T60" s="344"/>
      <c r="U60" s="213"/>
      <c r="V60" s="344"/>
      <c r="X60" s="484"/>
      <c r="Y60" s="653"/>
    </row>
    <row r="61" spans="1:25" ht="12" x14ac:dyDescent="0.2">
      <c r="B61" s="50" t="s">
        <v>14</v>
      </c>
      <c r="C61" s="974"/>
      <c r="D61" s="944"/>
      <c r="E61" s="943"/>
      <c r="F61" s="975"/>
      <c r="G61" s="974"/>
      <c r="H61" s="975"/>
      <c r="I61" s="974"/>
      <c r="J61" s="1020"/>
      <c r="K61" s="943"/>
      <c r="L61" s="944"/>
      <c r="M61" s="214"/>
      <c r="N61" s="316">
        <v>4402504</v>
      </c>
      <c r="O61" s="214"/>
      <c r="P61" s="316">
        <v>4498666</v>
      </c>
      <c r="Q61" s="214"/>
      <c r="R61" s="316">
        <v>5011425</v>
      </c>
      <c r="S61" s="214"/>
      <c r="T61" s="316">
        <v>4409870.24</v>
      </c>
      <c r="U61" s="214"/>
      <c r="V61" s="944"/>
      <c r="X61" s="599"/>
      <c r="Y61" s="632"/>
    </row>
    <row r="62" spans="1:25" thickBot="1" x14ac:dyDescent="0.25">
      <c r="B62" s="279" t="s">
        <v>15</v>
      </c>
      <c r="C62" s="976"/>
      <c r="D62" s="945"/>
      <c r="E62" s="758"/>
      <c r="F62" s="977"/>
      <c r="G62" s="976"/>
      <c r="H62" s="977"/>
      <c r="I62" s="976"/>
      <c r="J62" s="1021"/>
      <c r="K62" s="758"/>
      <c r="L62" s="945"/>
      <c r="M62" s="215"/>
      <c r="N62" s="318">
        <v>0</v>
      </c>
      <c r="O62" s="215"/>
      <c r="P62" s="318">
        <v>0</v>
      </c>
      <c r="Q62" s="215"/>
      <c r="R62" s="318">
        <v>0</v>
      </c>
      <c r="S62" s="215"/>
      <c r="T62" s="318">
        <v>0</v>
      </c>
      <c r="U62" s="215"/>
      <c r="V62" s="945"/>
      <c r="X62" s="601"/>
      <c r="Y62" s="780"/>
    </row>
    <row r="63" spans="1:25" ht="12" x14ac:dyDescent="0.2">
      <c r="B63" s="49"/>
      <c r="C63" s="978"/>
      <c r="D63" s="947"/>
      <c r="E63" s="946"/>
      <c r="F63" s="979"/>
      <c r="G63" s="978"/>
      <c r="H63" s="979"/>
      <c r="I63" s="978"/>
      <c r="J63" s="947"/>
      <c r="K63" s="946"/>
      <c r="L63" s="947"/>
      <c r="M63" s="216" t="s">
        <v>82</v>
      </c>
      <c r="N63" s="345" t="s">
        <v>88</v>
      </c>
      <c r="O63" s="216" t="s">
        <v>82</v>
      </c>
      <c r="P63" s="345" t="s">
        <v>88</v>
      </c>
      <c r="Q63" s="216" t="s">
        <v>82</v>
      </c>
      <c r="R63" s="345" t="s">
        <v>88</v>
      </c>
      <c r="S63" s="216" t="s">
        <v>82</v>
      </c>
      <c r="T63" s="345" t="s">
        <v>88</v>
      </c>
      <c r="U63" s="216" t="s">
        <v>82</v>
      </c>
      <c r="V63" s="345" t="s">
        <v>88</v>
      </c>
      <c r="X63" s="633" t="s">
        <v>82</v>
      </c>
      <c r="Y63" s="781" t="s">
        <v>88</v>
      </c>
    </row>
    <row r="64" spans="1:25" ht="11.45" customHeight="1" x14ac:dyDescent="0.2">
      <c r="B64" s="52" t="s">
        <v>37</v>
      </c>
      <c r="C64" s="980"/>
      <c r="D64" s="897"/>
      <c r="E64" s="981"/>
      <c r="F64" s="982"/>
      <c r="G64" s="981"/>
      <c r="H64" s="983"/>
      <c r="I64" s="984"/>
      <c r="J64" s="985"/>
      <c r="K64" s="759"/>
      <c r="L64" s="897"/>
      <c r="M64" s="474">
        <v>5</v>
      </c>
      <c r="N64" s="412">
        <f>407284+3062306</f>
        <v>3469590</v>
      </c>
      <c r="O64" s="474">
        <f>3+0+0</f>
        <v>3</v>
      </c>
      <c r="P64" s="412">
        <v>162572</v>
      </c>
      <c r="Q64" s="474">
        <v>1</v>
      </c>
      <c r="R64" s="412">
        <v>150000</v>
      </c>
      <c r="S64" s="474">
        <v>1</v>
      </c>
      <c r="T64" s="412">
        <v>591470</v>
      </c>
      <c r="U64" s="759"/>
      <c r="V64" s="897"/>
      <c r="X64" s="703"/>
      <c r="Y64" s="606"/>
    </row>
    <row r="65" spans="1:25" ht="11.45" customHeight="1" x14ac:dyDescent="0.2">
      <c r="B65" s="52"/>
      <c r="C65" s="986"/>
      <c r="D65" s="898"/>
      <c r="E65" s="987"/>
      <c r="F65" s="898"/>
      <c r="G65" s="987"/>
      <c r="H65" s="988"/>
      <c r="I65" s="989"/>
      <c r="J65" s="990"/>
      <c r="K65" s="760"/>
      <c r="L65" s="898"/>
      <c r="M65" s="470"/>
      <c r="N65" s="823"/>
      <c r="O65" s="470"/>
      <c r="P65" s="823"/>
      <c r="Q65" s="470"/>
      <c r="R65" s="823"/>
      <c r="S65" s="470"/>
      <c r="T65" s="823"/>
      <c r="U65" s="760"/>
      <c r="V65" s="898"/>
      <c r="X65" s="702"/>
      <c r="Y65" s="606"/>
    </row>
    <row r="66" spans="1:25" thickBot="1" x14ac:dyDescent="0.25">
      <c r="B66" s="485" t="s">
        <v>16</v>
      </c>
      <c r="C66" s="991"/>
      <c r="D66" s="992"/>
      <c r="E66" s="993"/>
      <c r="F66" s="992"/>
      <c r="G66" s="993"/>
      <c r="H66" s="994"/>
      <c r="I66" s="991"/>
      <c r="J66" s="995"/>
      <c r="K66" s="758"/>
      <c r="L66" s="899"/>
      <c r="M66" s="460">
        <v>1</v>
      </c>
      <c r="N66" s="824">
        <v>32370</v>
      </c>
      <c r="O66" s="460">
        <f>1+0+0</f>
        <v>1</v>
      </c>
      <c r="P66" s="824">
        <f>4014</f>
        <v>4014</v>
      </c>
      <c r="Q66" s="460">
        <v>1</v>
      </c>
      <c r="R66" s="824">
        <v>295178</v>
      </c>
      <c r="S66" s="460">
        <v>0</v>
      </c>
      <c r="T66" s="824">
        <v>0</v>
      </c>
      <c r="U66" s="758"/>
      <c r="V66" s="899"/>
      <c r="X66" s="705"/>
      <c r="Y66" s="603"/>
    </row>
    <row r="67" spans="1:25" ht="12" x14ac:dyDescent="0.2">
      <c r="B67" s="278" t="s">
        <v>59</v>
      </c>
      <c r="C67" s="261"/>
      <c r="D67" s="348"/>
      <c r="E67" s="219"/>
      <c r="F67" s="381"/>
      <c r="G67" s="261"/>
      <c r="H67" s="381"/>
      <c r="I67" s="261"/>
      <c r="J67" s="348"/>
      <c r="K67" s="219"/>
      <c r="L67" s="348"/>
      <c r="M67" s="219"/>
      <c r="N67" s="348"/>
      <c r="O67" s="219"/>
      <c r="P67" s="348"/>
      <c r="Q67" s="219"/>
      <c r="R67" s="348"/>
      <c r="S67" s="219"/>
      <c r="T67" s="348"/>
      <c r="U67" s="219"/>
      <c r="V67" s="348"/>
      <c r="X67" s="484"/>
      <c r="Y67" s="607"/>
    </row>
    <row r="68" spans="1:25" ht="12" x14ac:dyDescent="0.2">
      <c r="B68" s="486" t="s">
        <v>61</v>
      </c>
      <c r="C68" s="263"/>
      <c r="D68" s="828">
        <f>16930+2025</f>
        <v>18955</v>
      </c>
      <c r="E68" s="443"/>
      <c r="F68" s="450">
        <f>38212.5+64437.5</f>
        <v>102650</v>
      </c>
      <c r="G68" s="444"/>
      <c r="H68" s="495">
        <f>36053+23995</f>
        <v>60048</v>
      </c>
      <c r="I68" s="444"/>
      <c r="J68" s="1172">
        <f>29305+12150</f>
        <v>41455</v>
      </c>
      <c r="K68" s="443"/>
      <c r="L68" s="825">
        <f>6621.2+30701.36</f>
        <v>37322.559999999998</v>
      </c>
      <c r="M68" s="443"/>
      <c r="N68" s="825">
        <f>8715+3478.4</f>
        <v>12193.4</v>
      </c>
      <c r="O68" s="443"/>
      <c r="P68" s="825">
        <f>31816.9+4870</f>
        <v>36686.9</v>
      </c>
      <c r="Q68" s="443"/>
      <c r="R68" s="825">
        <v>249205.52</v>
      </c>
      <c r="S68" s="443"/>
      <c r="T68" s="825">
        <v>135094.20000000001</v>
      </c>
      <c r="U68" s="443"/>
      <c r="V68" s="953"/>
      <c r="X68" s="599"/>
      <c r="Y68" s="634">
        <f>AVERAGE(T68,R68,P68,N68,L68)</f>
        <v>94100.516000000003</v>
      </c>
    </row>
    <row r="69" spans="1:25" thickBot="1" x14ac:dyDescent="0.25">
      <c r="B69" s="487" t="s">
        <v>62</v>
      </c>
      <c r="C69" s="264"/>
      <c r="D69" s="446">
        <v>0</v>
      </c>
      <c r="E69" s="447"/>
      <c r="F69" s="446">
        <v>0</v>
      </c>
      <c r="G69" s="447"/>
      <c r="H69" s="446">
        <v>0</v>
      </c>
      <c r="I69" s="447"/>
      <c r="J69" s="449">
        <v>0</v>
      </c>
      <c r="K69" s="445"/>
      <c r="L69" s="449">
        <v>0</v>
      </c>
      <c r="M69" s="445"/>
      <c r="N69" s="449">
        <v>0</v>
      </c>
      <c r="O69" s="445"/>
      <c r="P69" s="449">
        <v>0</v>
      </c>
      <c r="Q69" s="445"/>
      <c r="R69" s="449">
        <v>0</v>
      </c>
      <c r="S69" s="445"/>
      <c r="T69" s="449">
        <v>0</v>
      </c>
      <c r="U69" s="445"/>
      <c r="V69" s="955"/>
      <c r="X69" s="600"/>
      <c r="Y69" s="1174">
        <f>AVERAGE(T69,R69,P69,N69,L69)</f>
        <v>0</v>
      </c>
    </row>
    <row r="70" spans="1:25" thickTop="1" x14ac:dyDescent="0.2">
      <c r="B70" s="82"/>
      <c r="C70" s="220"/>
      <c r="D70" s="216"/>
      <c r="E70" s="220"/>
      <c r="F70" s="216"/>
      <c r="G70" s="220"/>
      <c r="H70" s="216"/>
      <c r="I70" s="220"/>
      <c r="J70" s="216"/>
      <c r="K70" s="220"/>
      <c r="L70" s="216"/>
      <c r="M70" s="220"/>
      <c r="N70" s="216"/>
      <c r="O70" s="220"/>
      <c r="P70" s="216"/>
      <c r="Q70" s="220"/>
      <c r="R70" s="216"/>
      <c r="S70" s="220"/>
      <c r="T70" s="216"/>
      <c r="U70" s="220"/>
      <c r="V70" s="216"/>
    </row>
    <row r="71" spans="1:25" x14ac:dyDescent="0.2">
      <c r="A71" s="3" t="s">
        <v>55</v>
      </c>
      <c r="B71" s="82"/>
      <c r="C71" s="220"/>
      <c r="D71" s="216"/>
      <c r="E71" s="220"/>
      <c r="F71" s="216"/>
      <c r="G71" s="220"/>
      <c r="H71" s="216"/>
      <c r="I71" s="220"/>
      <c r="J71" s="216"/>
      <c r="K71" s="220"/>
      <c r="L71" s="216"/>
      <c r="M71" s="220"/>
      <c r="N71" s="216"/>
      <c r="O71" s="220"/>
      <c r="P71" s="216"/>
      <c r="Q71" s="220"/>
      <c r="R71" s="216"/>
      <c r="S71" s="220"/>
      <c r="T71" s="216"/>
      <c r="U71" s="220"/>
      <c r="V71" s="216"/>
    </row>
    <row r="72" spans="1:25" thickBot="1" x14ac:dyDescent="0.25">
      <c r="B72" s="82"/>
      <c r="C72" s="220"/>
      <c r="D72" s="216"/>
      <c r="E72" s="220"/>
      <c r="F72" s="216"/>
      <c r="G72" s="220"/>
      <c r="H72" s="216"/>
      <c r="I72" s="220"/>
      <c r="J72" s="216"/>
      <c r="K72" s="220"/>
      <c r="L72" s="216"/>
      <c r="M72" s="220"/>
      <c r="N72" s="216"/>
      <c r="O72" s="220"/>
      <c r="P72" s="216"/>
      <c r="Q72" s="220"/>
      <c r="R72" s="216"/>
      <c r="S72" s="220"/>
      <c r="T72" s="216"/>
      <c r="U72" s="220"/>
      <c r="V72" s="216"/>
    </row>
    <row r="73" spans="1:25" ht="14.25" customHeight="1" thickTop="1" thickBot="1" x14ac:dyDescent="0.25">
      <c r="B73" s="270"/>
      <c r="C73" s="1231" t="s">
        <v>89</v>
      </c>
      <c r="D73" s="1221"/>
      <c r="E73" s="1231" t="s">
        <v>99</v>
      </c>
      <c r="F73" s="1220"/>
      <c r="G73" s="1231" t="s">
        <v>101</v>
      </c>
      <c r="H73" s="1220"/>
      <c r="I73" s="1231" t="s">
        <v>106</v>
      </c>
      <c r="J73" s="1221"/>
      <c r="K73" s="1220" t="s">
        <v>155</v>
      </c>
      <c r="L73" s="1221"/>
      <c r="M73" s="1220" t="s">
        <v>160</v>
      </c>
      <c r="N73" s="1221"/>
      <c r="O73" s="1220" t="s">
        <v>179</v>
      </c>
      <c r="P73" s="1221"/>
      <c r="Q73" s="1220" t="s">
        <v>189</v>
      </c>
      <c r="R73" s="1221"/>
      <c r="S73" s="1220" t="s">
        <v>194</v>
      </c>
      <c r="T73" s="1221"/>
      <c r="U73" s="1220" t="s">
        <v>198</v>
      </c>
      <c r="V73" s="1221"/>
      <c r="X73" s="1250" t="s">
        <v>142</v>
      </c>
      <c r="Y73" s="1251"/>
    </row>
    <row r="74" spans="1:25" ht="12" x14ac:dyDescent="0.2">
      <c r="B74" s="45" t="s">
        <v>33</v>
      </c>
      <c r="C74" s="971"/>
      <c r="D74" s="933"/>
      <c r="E74" s="932"/>
      <c r="F74" s="932"/>
      <c r="G74" s="971"/>
      <c r="H74" s="932"/>
      <c r="I74" s="971"/>
      <c r="J74" s="933"/>
      <c r="K74" s="932"/>
      <c r="L74" s="933"/>
      <c r="M74" s="207"/>
      <c r="N74" s="339"/>
      <c r="O74" s="207"/>
      <c r="P74" s="339"/>
      <c r="Q74" s="207"/>
      <c r="R74" s="339"/>
      <c r="S74" s="207"/>
      <c r="T74" s="339"/>
      <c r="U74" s="207"/>
      <c r="V74" s="339"/>
      <c r="X74" s="1060"/>
      <c r="Y74" s="1061"/>
    </row>
    <row r="75" spans="1:25" ht="12" x14ac:dyDescent="0.2">
      <c r="B75" s="46" t="s">
        <v>34</v>
      </c>
      <c r="C75" s="169"/>
      <c r="D75" s="784"/>
      <c r="E75" s="88"/>
      <c r="F75" s="297"/>
      <c r="G75" s="169"/>
      <c r="H75" s="297"/>
      <c r="I75" s="169"/>
      <c r="J75" s="784"/>
      <c r="K75" s="88"/>
      <c r="L75" s="784"/>
      <c r="M75" s="208"/>
      <c r="N75" s="340"/>
      <c r="O75" s="208"/>
      <c r="P75" s="340"/>
      <c r="Q75" s="208"/>
      <c r="R75" s="340"/>
      <c r="S75" s="208"/>
      <c r="T75" s="340"/>
      <c r="U75" s="208"/>
      <c r="V75" s="340"/>
      <c r="X75" s="1062"/>
      <c r="Y75" s="1063"/>
    </row>
    <row r="76" spans="1:25" ht="12" x14ac:dyDescent="0.2">
      <c r="B76" s="47" t="s">
        <v>35</v>
      </c>
      <c r="C76" s="169"/>
      <c r="D76" s="784"/>
      <c r="E76" s="88"/>
      <c r="F76" s="297"/>
      <c r="G76" s="169"/>
      <c r="H76" s="297"/>
      <c r="I76" s="169"/>
      <c r="J76" s="784"/>
      <c r="K76" s="88"/>
      <c r="L76" s="784"/>
      <c r="M76" s="208"/>
      <c r="N76" s="340">
        <v>21</v>
      </c>
      <c r="O76" s="208"/>
      <c r="P76" s="340">
        <v>23</v>
      </c>
      <c r="Q76" s="208"/>
      <c r="R76" s="340">
        <v>28</v>
      </c>
      <c r="S76" s="208"/>
      <c r="T76" s="340">
        <v>28</v>
      </c>
      <c r="U76" s="208"/>
      <c r="V76" s="340">
        <v>26</v>
      </c>
      <c r="X76" s="1062"/>
      <c r="Y76" s="1064">
        <f>AVERAGE(T76,R76,P76,N76,V76)</f>
        <v>25.2</v>
      </c>
    </row>
    <row r="77" spans="1:25" ht="12" x14ac:dyDescent="0.2">
      <c r="B77" s="47" t="s">
        <v>139</v>
      </c>
      <c r="C77" s="169"/>
      <c r="D77" s="784"/>
      <c r="E77" s="88"/>
      <c r="F77" s="297"/>
      <c r="G77" s="169"/>
      <c r="H77" s="297"/>
      <c r="I77" s="169"/>
      <c r="J77" s="784"/>
      <c r="K77" s="88"/>
      <c r="L77" s="784"/>
      <c r="M77" s="208"/>
      <c r="N77" s="340">
        <v>18</v>
      </c>
      <c r="O77" s="208"/>
      <c r="P77" s="340">
        <v>17</v>
      </c>
      <c r="Q77" s="208"/>
      <c r="R77" s="340">
        <v>12</v>
      </c>
      <c r="S77" s="208"/>
      <c r="T77" s="340">
        <v>16</v>
      </c>
      <c r="U77" s="208"/>
      <c r="V77" s="340">
        <v>15</v>
      </c>
      <c r="X77" s="1062"/>
      <c r="Y77" s="1064">
        <f>AVERAGE(T77,R77,P77,N77,V77)</f>
        <v>15.6</v>
      </c>
    </row>
    <row r="78" spans="1:25" ht="12" x14ac:dyDescent="0.2">
      <c r="B78" s="46" t="s">
        <v>36</v>
      </c>
      <c r="C78" s="169"/>
      <c r="D78" s="905"/>
      <c r="E78" s="88"/>
      <c r="F78" s="997"/>
      <c r="G78" s="169"/>
      <c r="H78" s="997"/>
      <c r="I78" s="169"/>
      <c r="J78" s="905"/>
      <c r="K78" s="88"/>
      <c r="L78" s="905"/>
      <c r="M78" s="208"/>
      <c r="N78" s="341"/>
      <c r="O78" s="208"/>
      <c r="P78" s="341"/>
      <c r="Q78" s="208"/>
      <c r="R78" s="341"/>
      <c r="S78" s="208"/>
      <c r="T78" s="341"/>
      <c r="U78" s="208"/>
      <c r="V78" s="341"/>
      <c r="X78" s="1062"/>
      <c r="Y78" s="1064"/>
    </row>
    <row r="79" spans="1:25" ht="12" x14ac:dyDescent="0.2">
      <c r="B79" s="47" t="s">
        <v>35</v>
      </c>
      <c r="C79" s="169"/>
      <c r="D79" s="905"/>
      <c r="E79" s="88"/>
      <c r="F79" s="997"/>
      <c r="G79" s="169"/>
      <c r="H79" s="997"/>
      <c r="I79" s="169"/>
      <c r="J79" s="905"/>
      <c r="K79" s="88"/>
      <c r="L79" s="905"/>
      <c r="M79" s="208"/>
      <c r="N79" s="341">
        <v>0</v>
      </c>
      <c r="O79" s="208"/>
      <c r="P79" s="341">
        <v>0</v>
      </c>
      <c r="Q79" s="208"/>
      <c r="R79" s="341">
        <v>0</v>
      </c>
      <c r="S79" s="208"/>
      <c r="T79" s="341">
        <v>0</v>
      </c>
      <c r="U79" s="208"/>
      <c r="V79" s="341">
        <v>0</v>
      </c>
      <c r="X79" s="1062"/>
      <c r="Y79" s="1064">
        <f>AVERAGE(T79,R79,P79,N79,V79)</f>
        <v>0</v>
      </c>
    </row>
    <row r="80" spans="1:25" ht="12" x14ac:dyDescent="0.2">
      <c r="B80" s="283" t="s">
        <v>139</v>
      </c>
      <c r="C80" s="169"/>
      <c r="D80" s="905"/>
      <c r="E80" s="88"/>
      <c r="F80" s="997"/>
      <c r="G80" s="169"/>
      <c r="H80" s="997"/>
      <c r="I80" s="169"/>
      <c r="J80" s="905"/>
      <c r="K80" s="88"/>
      <c r="L80" s="905"/>
      <c r="M80" s="208"/>
      <c r="N80" s="341">
        <v>1</v>
      </c>
      <c r="O80" s="208"/>
      <c r="P80" s="341">
        <v>1</v>
      </c>
      <c r="Q80" s="208"/>
      <c r="R80" s="341">
        <v>1</v>
      </c>
      <c r="S80" s="208"/>
      <c r="T80" s="341">
        <v>1</v>
      </c>
      <c r="U80" s="208"/>
      <c r="V80" s="341">
        <v>2</v>
      </c>
      <c r="X80" s="1062"/>
      <c r="Y80" s="1064">
        <f>AVERAGE(T80,R80,P80,N80,V80)</f>
        <v>1.2</v>
      </c>
    </row>
    <row r="81" spans="2:25" thickBot="1" x14ac:dyDescent="0.25">
      <c r="B81" s="51" t="s">
        <v>13</v>
      </c>
      <c r="C81" s="998"/>
      <c r="D81" s="906"/>
      <c r="E81" s="956"/>
      <c r="F81" s="999"/>
      <c r="G81" s="998"/>
      <c r="H81" s="999"/>
      <c r="I81" s="998"/>
      <c r="J81" s="906"/>
      <c r="K81" s="956"/>
      <c r="L81" s="906"/>
      <c r="M81" s="223"/>
      <c r="N81" s="342">
        <f>SUM(N76:N80)</f>
        <v>40</v>
      </c>
      <c r="O81" s="223"/>
      <c r="P81" s="342">
        <f>SUM(P76:P80)</f>
        <v>41</v>
      </c>
      <c r="Q81" s="223"/>
      <c r="R81" s="342">
        <f>SUM(R76:R80)</f>
        <v>41</v>
      </c>
      <c r="S81" s="223"/>
      <c r="T81" s="342">
        <f>SUM(T76:T80)</f>
        <v>45</v>
      </c>
      <c r="U81" s="223"/>
      <c r="V81" s="342">
        <f>SUM(V76:V80)</f>
        <v>43</v>
      </c>
      <c r="X81" s="1065"/>
      <c r="Y81" s="1066">
        <f>AVERAGE(T81,R81,P81,N81,V81)</f>
        <v>42</v>
      </c>
    </row>
    <row r="82" spans="2:25" thickTop="1" x14ac:dyDescent="0.2">
      <c r="B82" s="524" t="s">
        <v>84</v>
      </c>
      <c r="C82" s="1000"/>
      <c r="D82" s="958"/>
      <c r="E82" s="957"/>
      <c r="F82" s="1001"/>
      <c r="G82" s="1000"/>
      <c r="H82" s="1001"/>
      <c r="I82" s="1000"/>
      <c r="J82" s="958"/>
      <c r="K82" s="957"/>
      <c r="L82" s="958"/>
      <c r="M82" s="224" t="s">
        <v>82</v>
      </c>
      <c r="N82" s="353" t="s">
        <v>83</v>
      </c>
      <c r="O82" s="224" t="s">
        <v>82</v>
      </c>
      <c r="P82" s="353" t="s">
        <v>83</v>
      </c>
      <c r="Q82" s="224" t="s">
        <v>82</v>
      </c>
      <c r="R82" s="353" t="s">
        <v>83</v>
      </c>
      <c r="S82" s="224" t="s">
        <v>82</v>
      </c>
      <c r="T82" s="353" t="s">
        <v>83</v>
      </c>
      <c r="U82" s="224" t="s">
        <v>82</v>
      </c>
      <c r="V82" s="353" t="s">
        <v>83</v>
      </c>
      <c r="X82" s="1060"/>
      <c r="Y82" s="1067"/>
    </row>
    <row r="83" spans="2:25" ht="12" x14ac:dyDescent="0.2">
      <c r="B83" s="47" t="s">
        <v>66</v>
      </c>
      <c r="C83" s="1002"/>
      <c r="D83" s="908"/>
      <c r="E83" s="907"/>
      <c r="F83" s="1003"/>
      <c r="G83" s="1002"/>
      <c r="H83" s="1003"/>
      <c r="I83" s="1002"/>
      <c r="J83" s="908"/>
      <c r="K83" s="907"/>
      <c r="L83" s="908"/>
      <c r="M83" s="114">
        <v>36</v>
      </c>
      <c r="N83" s="190">
        <f>M83/N$81</f>
        <v>0.9</v>
      </c>
      <c r="O83" s="114">
        <f>17+18</f>
        <v>35</v>
      </c>
      <c r="P83" s="190">
        <f>O83/P$81</f>
        <v>0.85365853658536583</v>
      </c>
      <c r="Q83" s="114">
        <f>22+13</f>
        <v>35</v>
      </c>
      <c r="R83" s="190">
        <f t="shared" ref="R83:R90" si="14">Q83/R$81</f>
        <v>0.85365853658536583</v>
      </c>
      <c r="S83" s="114">
        <f>17+22</f>
        <v>39</v>
      </c>
      <c r="T83" s="190">
        <f t="shared" ref="T83:T90" si="15">S83/T$81</f>
        <v>0.8666666666666667</v>
      </c>
      <c r="U83" s="114">
        <v>36</v>
      </c>
      <c r="V83" s="190">
        <f t="shared" ref="V83:V90" si="16">U83/V$81</f>
        <v>0.83720930232558144</v>
      </c>
      <c r="X83" s="1062">
        <f t="shared" ref="X83:X90" si="17">AVERAGE(S83,Q83,O83,M83,U83)</f>
        <v>36.200000000000003</v>
      </c>
      <c r="Y83" s="1068">
        <f t="shared" ref="Y83:Y90" si="18">AVERAGE(T83,R83,P83,N83,V83)</f>
        <v>0.86223860843259581</v>
      </c>
    </row>
    <row r="84" spans="2:25" ht="12" x14ac:dyDescent="0.2">
      <c r="B84" s="70" t="s">
        <v>67</v>
      </c>
      <c r="C84" s="1002"/>
      <c r="D84" s="908"/>
      <c r="E84" s="907"/>
      <c r="F84" s="1003"/>
      <c r="G84" s="1002"/>
      <c r="H84" s="1003"/>
      <c r="I84" s="1002"/>
      <c r="J84" s="908"/>
      <c r="K84" s="907"/>
      <c r="L84" s="908"/>
      <c r="M84" s="114">
        <v>2</v>
      </c>
      <c r="N84" s="190">
        <f t="shared" ref="N84:P102" si="19">M84/N$81</f>
        <v>0.05</v>
      </c>
      <c r="O84" s="114">
        <f>1+2</f>
        <v>3</v>
      </c>
      <c r="P84" s="190">
        <f t="shared" si="19"/>
        <v>7.3170731707317069E-2</v>
      </c>
      <c r="Q84" s="114">
        <v>2</v>
      </c>
      <c r="R84" s="190">
        <f t="shared" si="14"/>
        <v>4.878048780487805E-2</v>
      </c>
      <c r="S84" s="114">
        <v>2</v>
      </c>
      <c r="T84" s="190">
        <f t="shared" si="15"/>
        <v>4.4444444444444446E-2</v>
      </c>
      <c r="U84" s="114">
        <v>2</v>
      </c>
      <c r="V84" s="190">
        <f t="shared" si="16"/>
        <v>4.6511627906976744E-2</v>
      </c>
      <c r="X84" s="1062">
        <f t="shared" si="17"/>
        <v>2.2000000000000002</v>
      </c>
      <c r="Y84" s="1068">
        <f t="shared" si="18"/>
        <v>5.2581458372723253E-2</v>
      </c>
    </row>
    <row r="85" spans="2:25" ht="12" x14ac:dyDescent="0.2">
      <c r="B85" s="70" t="s">
        <v>68</v>
      </c>
      <c r="C85" s="1002"/>
      <c r="D85" s="908"/>
      <c r="E85" s="907"/>
      <c r="F85" s="1003"/>
      <c r="G85" s="1002"/>
      <c r="H85" s="1003"/>
      <c r="I85" s="1002"/>
      <c r="J85" s="908"/>
      <c r="K85" s="907"/>
      <c r="L85" s="908"/>
      <c r="M85" s="114">
        <v>0</v>
      </c>
      <c r="N85" s="190">
        <f t="shared" si="19"/>
        <v>0</v>
      </c>
      <c r="O85" s="114">
        <f>1</f>
        <v>1</v>
      </c>
      <c r="P85" s="190">
        <f t="shared" si="19"/>
        <v>2.4390243902439025E-2</v>
      </c>
      <c r="Q85" s="114">
        <v>1</v>
      </c>
      <c r="R85" s="190">
        <f t="shared" si="14"/>
        <v>2.4390243902439025E-2</v>
      </c>
      <c r="S85" s="114">
        <v>1</v>
      </c>
      <c r="T85" s="190">
        <f t="shared" si="15"/>
        <v>2.2222222222222223E-2</v>
      </c>
      <c r="U85" s="114">
        <v>3</v>
      </c>
      <c r="V85" s="190">
        <f t="shared" si="16"/>
        <v>6.9767441860465115E-2</v>
      </c>
      <c r="X85" s="1062">
        <f t="shared" si="17"/>
        <v>1.2</v>
      </c>
      <c r="Y85" s="1068">
        <f t="shared" si="18"/>
        <v>2.8154030377513073E-2</v>
      </c>
    </row>
    <row r="86" spans="2:25" ht="12" x14ac:dyDescent="0.2">
      <c r="B86" s="70" t="s">
        <v>69</v>
      </c>
      <c r="C86" s="1002"/>
      <c r="D86" s="908"/>
      <c r="E86" s="907"/>
      <c r="F86" s="1003"/>
      <c r="G86" s="1002"/>
      <c r="H86" s="1003"/>
      <c r="I86" s="1002"/>
      <c r="J86" s="908"/>
      <c r="K86" s="907"/>
      <c r="L86" s="908"/>
      <c r="M86" s="114">
        <v>0</v>
      </c>
      <c r="N86" s="190">
        <f t="shared" si="19"/>
        <v>0</v>
      </c>
      <c r="O86" s="114">
        <f>0</f>
        <v>0</v>
      </c>
      <c r="P86" s="190">
        <f t="shared" si="19"/>
        <v>0</v>
      </c>
      <c r="Q86" s="114"/>
      <c r="R86" s="190">
        <f t="shared" si="14"/>
        <v>0</v>
      </c>
      <c r="S86" s="114">
        <v>0</v>
      </c>
      <c r="T86" s="190">
        <f t="shared" si="15"/>
        <v>0</v>
      </c>
      <c r="U86" s="114">
        <v>0</v>
      </c>
      <c r="V86" s="190">
        <f t="shared" si="16"/>
        <v>0</v>
      </c>
      <c r="X86" s="1062">
        <f t="shared" si="17"/>
        <v>0</v>
      </c>
      <c r="Y86" s="1068">
        <f t="shared" si="18"/>
        <v>0</v>
      </c>
    </row>
    <row r="87" spans="2:25" ht="12" x14ac:dyDescent="0.2">
      <c r="B87" s="70" t="s">
        <v>70</v>
      </c>
      <c r="C87" s="1002"/>
      <c r="D87" s="908"/>
      <c r="E87" s="907"/>
      <c r="F87" s="1003"/>
      <c r="G87" s="1002"/>
      <c r="H87" s="1003"/>
      <c r="I87" s="1002"/>
      <c r="J87" s="908"/>
      <c r="K87" s="907"/>
      <c r="L87" s="908"/>
      <c r="M87" s="114">
        <v>1</v>
      </c>
      <c r="N87" s="190">
        <f t="shared" si="19"/>
        <v>2.5000000000000001E-2</v>
      </c>
      <c r="O87" s="114">
        <f>1</f>
        <v>1</v>
      </c>
      <c r="P87" s="190">
        <f t="shared" si="19"/>
        <v>2.4390243902439025E-2</v>
      </c>
      <c r="Q87" s="114">
        <v>1</v>
      </c>
      <c r="R87" s="190">
        <f t="shared" si="14"/>
        <v>2.4390243902439025E-2</v>
      </c>
      <c r="S87" s="114">
        <v>1</v>
      </c>
      <c r="T87" s="190">
        <f t="shared" si="15"/>
        <v>2.2222222222222223E-2</v>
      </c>
      <c r="U87" s="114">
        <v>1</v>
      </c>
      <c r="V87" s="190">
        <f t="shared" si="16"/>
        <v>2.3255813953488372E-2</v>
      </c>
      <c r="X87" s="1062">
        <f t="shared" si="17"/>
        <v>1</v>
      </c>
      <c r="Y87" s="1068">
        <f t="shared" si="18"/>
        <v>2.3851704796117725E-2</v>
      </c>
    </row>
    <row r="88" spans="2:25" ht="12" x14ac:dyDescent="0.2">
      <c r="B88" s="70" t="s">
        <v>71</v>
      </c>
      <c r="C88" s="1002"/>
      <c r="D88" s="908"/>
      <c r="E88" s="907"/>
      <c r="F88" s="1003"/>
      <c r="G88" s="1002"/>
      <c r="H88" s="1003"/>
      <c r="I88" s="1002"/>
      <c r="J88" s="908"/>
      <c r="K88" s="907"/>
      <c r="L88" s="908"/>
      <c r="M88" s="114">
        <v>0</v>
      </c>
      <c r="N88" s="190">
        <f t="shared" si="19"/>
        <v>0</v>
      </c>
      <c r="O88" s="114">
        <f>0</f>
        <v>0</v>
      </c>
      <c r="P88" s="190">
        <f t="shared" si="19"/>
        <v>0</v>
      </c>
      <c r="Q88" s="114"/>
      <c r="R88" s="190">
        <f t="shared" si="14"/>
        <v>0</v>
      </c>
      <c r="S88" s="114">
        <v>0</v>
      </c>
      <c r="T88" s="190">
        <f t="shared" si="15"/>
        <v>0</v>
      </c>
      <c r="U88" s="114">
        <v>1</v>
      </c>
      <c r="V88" s="190">
        <f t="shared" si="16"/>
        <v>2.3255813953488372E-2</v>
      </c>
      <c r="X88" s="1062">
        <f t="shared" si="17"/>
        <v>0.25</v>
      </c>
      <c r="Y88" s="1068">
        <f t="shared" si="18"/>
        <v>4.6511627906976744E-3</v>
      </c>
    </row>
    <row r="89" spans="2:25" ht="12" x14ac:dyDescent="0.2">
      <c r="B89" s="70" t="s">
        <v>170</v>
      </c>
      <c r="C89" s="1004"/>
      <c r="D89" s="908"/>
      <c r="E89" s="909"/>
      <c r="F89" s="1003"/>
      <c r="G89" s="1004"/>
      <c r="H89" s="1003"/>
      <c r="I89" s="1004"/>
      <c r="J89" s="908"/>
      <c r="K89" s="909"/>
      <c r="L89" s="908"/>
      <c r="M89" s="115">
        <v>1</v>
      </c>
      <c r="N89" s="190">
        <f t="shared" si="19"/>
        <v>2.5000000000000001E-2</v>
      </c>
      <c r="O89" s="115">
        <f>1</f>
        <v>1</v>
      </c>
      <c r="P89" s="190">
        <f t="shared" si="19"/>
        <v>2.4390243902439025E-2</v>
      </c>
      <c r="Q89" s="115">
        <v>1</v>
      </c>
      <c r="R89" s="190">
        <f t="shared" si="14"/>
        <v>2.4390243902439025E-2</v>
      </c>
      <c r="S89" s="115">
        <v>1</v>
      </c>
      <c r="T89" s="190">
        <f t="shared" si="15"/>
        <v>2.2222222222222223E-2</v>
      </c>
      <c r="U89" s="115">
        <v>0</v>
      </c>
      <c r="V89" s="190">
        <f t="shared" si="16"/>
        <v>0</v>
      </c>
      <c r="X89" s="1062">
        <f t="shared" si="17"/>
        <v>0.8</v>
      </c>
      <c r="Y89" s="1068">
        <f t="shared" si="18"/>
        <v>1.9200542005420051E-2</v>
      </c>
    </row>
    <row r="90" spans="2:25" ht="12" x14ac:dyDescent="0.2">
      <c r="B90" s="70" t="s">
        <v>72</v>
      </c>
      <c r="C90" s="1004"/>
      <c r="D90" s="908"/>
      <c r="E90" s="909"/>
      <c r="F90" s="1003"/>
      <c r="G90" s="1004"/>
      <c r="H90" s="1003"/>
      <c r="I90" s="1004"/>
      <c r="J90" s="908"/>
      <c r="K90" s="909"/>
      <c r="L90" s="908"/>
      <c r="M90" s="115">
        <v>0</v>
      </c>
      <c r="N90" s="190">
        <f t="shared" si="19"/>
        <v>0</v>
      </c>
      <c r="O90" s="115">
        <f>0</f>
        <v>0</v>
      </c>
      <c r="P90" s="190">
        <f t="shared" si="19"/>
        <v>0</v>
      </c>
      <c r="Q90" s="115">
        <v>1</v>
      </c>
      <c r="R90" s="190">
        <f t="shared" si="14"/>
        <v>2.4390243902439025E-2</v>
      </c>
      <c r="S90" s="115">
        <v>1</v>
      </c>
      <c r="T90" s="190">
        <f t="shared" si="15"/>
        <v>2.2222222222222223E-2</v>
      </c>
      <c r="U90" s="115">
        <v>0</v>
      </c>
      <c r="V90" s="190">
        <f t="shared" si="16"/>
        <v>0</v>
      </c>
      <c r="X90" s="1062">
        <f t="shared" si="17"/>
        <v>0.4</v>
      </c>
      <c r="Y90" s="1068">
        <f t="shared" si="18"/>
        <v>9.3224932249322493E-3</v>
      </c>
    </row>
    <row r="91" spans="2:25" ht="12" x14ac:dyDescent="0.2">
      <c r="B91" s="287" t="s">
        <v>85</v>
      </c>
      <c r="C91" s="1005"/>
      <c r="D91" s="911"/>
      <c r="E91" s="910"/>
      <c r="F91" s="1006"/>
      <c r="G91" s="1005"/>
      <c r="H91" s="1006"/>
      <c r="I91" s="1005"/>
      <c r="J91" s="911"/>
      <c r="K91" s="910"/>
      <c r="L91" s="911"/>
      <c r="M91" s="185"/>
      <c r="N91" s="190"/>
      <c r="O91" s="185"/>
      <c r="P91" s="190"/>
      <c r="Q91" s="185"/>
      <c r="R91" s="190"/>
      <c r="S91" s="185"/>
      <c r="T91" s="190"/>
      <c r="U91" s="185"/>
      <c r="V91" s="190"/>
      <c r="X91" s="1062"/>
      <c r="Y91" s="1068"/>
    </row>
    <row r="92" spans="2:25" ht="12" x14ac:dyDescent="0.2">
      <c r="B92" s="47" t="s">
        <v>73</v>
      </c>
      <c r="C92" s="1007"/>
      <c r="D92" s="908"/>
      <c r="E92" s="297"/>
      <c r="F92" s="1003"/>
      <c r="G92" s="1007"/>
      <c r="H92" s="1003"/>
      <c r="I92" s="1007"/>
      <c r="J92" s="908"/>
      <c r="K92" s="297"/>
      <c r="L92" s="908"/>
      <c r="M92" s="313">
        <v>8</v>
      </c>
      <c r="N92" s="190">
        <f t="shared" si="19"/>
        <v>0.2</v>
      </c>
      <c r="O92" s="313">
        <f>2+3</f>
        <v>5</v>
      </c>
      <c r="P92" s="190">
        <f t="shared" si="19"/>
        <v>0.12195121951219512</v>
      </c>
      <c r="Q92" s="313">
        <v>7</v>
      </c>
      <c r="R92" s="190">
        <f>Q92/R$81</f>
        <v>0.17073170731707318</v>
      </c>
      <c r="S92" s="313">
        <f>2+5</f>
        <v>7</v>
      </c>
      <c r="T92" s="190">
        <f>S92/T$81</f>
        <v>0.15555555555555556</v>
      </c>
      <c r="U92" s="313">
        <v>6</v>
      </c>
      <c r="V92" s="190">
        <f>U92/V$81</f>
        <v>0.13953488372093023</v>
      </c>
      <c r="X92" s="1062">
        <f t="shared" ref="X92:X93" si="20">AVERAGE(S92,Q92,O92,M92,U92)</f>
        <v>6.6</v>
      </c>
      <c r="Y92" s="1068">
        <f t="shared" ref="Y92:Y93" si="21">AVERAGE(T92,R92,P92,N92,V92)</f>
        <v>0.15755467322115085</v>
      </c>
    </row>
    <row r="93" spans="2:25" ht="12" x14ac:dyDescent="0.2">
      <c r="B93" s="47" t="s">
        <v>74</v>
      </c>
      <c r="C93" s="1008"/>
      <c r="D93" s="908"/>
      <c r="E93" s="912"/>
      <c r="F93" s="1003"/>
      <c r="G93" s="1008"/>
      <c r="H93" s="1003"/>
      <c r="I93" s="1008"/>
      <c r="J93" s="908"/>
      <c r="K93" s="912"/>
      <c r="L93" s="908"/>
      <c r="M93" s="181">
        <v>32</v>
      </c>
      <c r="N93" s="190">
        <f t="shared" si="19"/>
        <v>0.8</v>
      </c>
      <c r="O93" s="181">
        <f>16+20</f>
        <v>36</v>
      </c>
      <c r="P93" s="190">
        <f t="shared" si="19"/>
        <v>0.87804878048780488</v>
      </c>
      <c r="Q93" s="181">
        <v>34</v>
      </c>
      <c r="R93" s="190">
        <f>Q93/R$81</f>
        <v>0.82926829268292679</v>
      </c>
      <c r="S93" s="181">
        <f>15+23</f>
        <v>38</v>
      </c>
      <c r="T93" s="190">
        <f>S93/T$81</f>
        <v>0.84444444444444444</v>
      </c>
      <c r="U93" s="181">
        <v>37</v>
      </c>
      <c r="V93" s="190">
        <f>U93/V$81</f>
        <v>0.86046511627906974</v>
      </c>
      <c r="X93" s="1062">
        <f t="shared" si="20"/>
        <v>35.4</v>
      </c>
      <c r="Y93" s="1068">
        <f t="shared" si="21"/>
        <v>0.8424453267788492</v>
      </c>
    </row>
    <row r="94" spans="2:25" ht="12" x14ac:dyDescent="0.2">
      <c r="B94" s="287" t="s">
        <v>86</v>
      </c>
      <c r="C94" s="1009"/>
      <c r="D94" s="908"/>
      <c r="E94" s="913"/>
      <c r="F94" s="1003"/>
      <c r="G94" s="1009"/>
      <c r="H94" s="1003"/>
      <c r="I94" s="1009"/>
      <c r="J94" s="908"/>
      <c r="K94" s="913"/>
      <c r="L94" s="908"/>
      <c r="M94" s="225"/>
      <c r="N94" s="190"/>
      <c r="O94" s="225"/>
      <c r="P94" s="190"/>
      <c r="Q94" s="225"/>
      <c r="R94" s="190"/>
      <c r="S94" s="225"/>
      <c r="T94" s="190"/>
      <c r="U94" s="225"/>
      <c r="V94" s="190"/>
      <c r="X94" s="1062"/>
      <c r="Y94" s="1068"/>
    </row>
    <row r="95" spans="2:25" ht="12" x14ac:dyDescent="0.2">
      <c r="B95" s="47" t="s">
        <v>75</v>
      </c>
      <c r="C95" s="1008"/>
      <c r="D95" s="908"/>
      <c r="E95" s="912"/>
      <c r="F95" s="1003"/>
      <c r="G95" s="1008"/>
      <c r="H95" s="1003"/>
      <c r="I95" s="1008"/>
      <c r="J95" s="908"/>
      <c r="K95" s="912"/>
      <c r="L95" s="908"/>
      <c r="M95" s="181">
        <v>12</v>
      </c>
      <c r="N95" s="190">
        <f t="shared" si="19"/>
        <v>0.3</v>
      </c>
      <c r="O95" s="181">
        <f>1+8</f>
        <v>9</v>
      </c>
      <c r="P95" s="190">
        <f t="shared" si="19"/>
        <v>0.21951219512195122</v>
      </c>
      <c r="Q95" s="181">
        <v>11</v>
      </c>
      <c r="R95" s="190">
        <f>Q95/R$81</f>
        <v>0.26829268292682928</v>
      </c>
      <c r="S95" s="181">
        <v>11</v>
      </c>
      <c r="T95" s="190">
        <f>S95/T$81</f>
        <v>0.24444444444444444</v>
      </c>
      <c r="U95" s="181">
        <v>11</v>
      </c>
      <c r="V95" s="190">
        <f>U95/V$81</f>
        <v>0.2558139534883721</v>
      </c>
      <c r="X95" s="1062">
        <f t="shared" ref="X95:X97" si="22">AVERAGE(S95,Q95,O95,M95,U95)</f>
        <v>10.8</v>
      </c>
      <c r="Y95" s="1068">
        <f t="shared" ref="Y95:Y97" si="23">AVERAGE(T95,R95,P95,N95,V95)</f>
        <v>0.25761265519631943</v>
      </c>
    </row>
    <row r="96" spans="2:25" ht="12" x14ac:dyDescent="0.2">
      <c r="B96" s="47" t="s">
        <v>76</v>
      </c>
      <c r="C96" s="1008"/>
      <c r="D96" s="908"/>
      <c r="E96" s="912"/>
      <c r="F96" s="1003"/>
      <c r="G96" s="1008"/>
      <c r="H96" s="1003"/>
      <c r="I96" s="1008"/>
      <c r="J96" s="908"/>
      <c r="K96" s="912"/>
      <c r="L96" s="908"/>
      <c r="M96" s="181">
        <v>4</v>
      </c>
      <c r="N96" s="190">
        <f t="shared" si="19"/>
        <v>0.1</v>
      </c>
      <c r="O96" s="181">
        <f>5</f>
        <v>5</v>
      </c>
      <c r="P96" s="190">
        <f t="shared" si="19"/>
        <v>0.12195121951219512</v>
      </c>
      <c r="Q96" s="181">
        <v>4</v>
      </c>
      <c r="R96" s="190">
        <f>Q96/R$81</f>
        <v>9.7560975609756101E-2</v>
      </c>
      <c r="S96" s="181">
        <v>4</v>
      </c>
      <c r="T96" s="190">
        <f>S96/T$81</f>
        <v>8.8888888888888892E-2</v>
      </c>
      <c r="U96" s="181">
        <v>3</v>
      </c>
      <c r="V96" s="190">
        <f>U96/V$81</f>
        <v>6.9767441860465115E-2</v>
      </c>
      <c r="X96" s="1062">
        <f t="shared" si="22"/>
        <v>4</v>
      </c>
      <c r="Y96" s="1068">
        <f t="shared" si="23"/>
        <v>9.5633705174261036E-2</v>
      </c>
    </row>
    <row r="97" spans="1:27" ht="12" x14ac:dyDescent="0.2">
      <c r="B97" s="47" t="s">
        <v>77</v>
      </c>
      <c r="C97" s="1008"/>
      <c r="D97" s="908"/>
      <c r="E97" s="912"/>
      <c r="F97" s="1003"/>
      <c r="G97" s="1008"/>
      <c r="H97" s="1003"/>
      <c r="I97" s="1008"/>
      <c r="J97" s="908"/>
      <c r="K97" s="912"/>
      <c r="L97" s="908"/>
      <c r="M97" s="181">
        <v>24</v>
      </c>
      <c r="N97" s="190">
        <f t="shared" si="19"/>
        <v>0.6</v>
      </c>
      <c r="O97" s="181">
        <f>17+10</f>
        <v>27</v>
      </c>
      <c r="P97" s="190">
        <f t="shared" si="19"/>
        <v>0.65853658536585369</v>
      </c>
      <c r="Q97" s="181">
        <v>26</v>
      </c>
      <c r="R97" s="190">
        <f>Q97/R$81</f>
        <v>0.63414634146341464</v>
      </c>
      <c r="S97" s="181">
        <f>17+13</f>
        <v>30</v>
      </c>
      <c r="T97" s="190">
        <f>S97/T$81</f>
        <v>0.66666666666666663</v>
      </c>
      <c r="U97" s="181">
        <v>29</v>
      </c>
      <c r="V97" s="190">
        <f>U97/V$81</f>
        <v>0.67441860465116277</v>
      </c>
      <c r="X97" s="1062">
        <f t="shared" si="22"/>
        <v>27.2</v>
      </c>
      <c r="Y97" s="1068">
        <f t="shared" si="23"/>
        <v>0.64675363962941956</v>
      </c>
    </row>
    <row r="98" spans="1:27" ht="12" x14ac:dyDescent="0.2">
      <c r="B98" s="287" t="s">
        <v>87</v>
      </c>
      <c r="C98" s="1009"/>
      <c r="D98" s="908"/>
      <c r="E98" s="913"/>
      <c r="F98" s="1003"/>
      <c r="G98" s="1009"/>
      <c r="H98" s="1003"/>
      <c r="I98" s="1009"/>
      <c r="J98" s="908"/>
      <c r="K98" s="913"/>
      <c r="L98" s="908"/>
      <c r="M98" s="225"/>
      <c r="N98" s="190"/>
      <c r="O98" s="225"/>
      <c r="P98" s="190"/>
      <c r="Q98" s="225"/>
      <c r="R98" s="190"/>
      <c r="S98" s="225"/>
      <c r="T98" s="190"/>
      <c r="U98" s="225"/>
      <c r="V98" s="190"/>
      <c r="X98" s="1062"/>
      <c r="Y98" s="1068"/>
    </row>
    <row r="99" spans="1:27" ht="12" x14ac:dyDescent="0.2">
      <c r="B99" s="47" t="s">
        <v>78</v>
      </c>
      <c r="C99" s="1008"/>
      <c r="D99" s="908"/>
      <c r="E99" s="912"/>
      <c r="F99" s="1003"/>
      <c r="G99" s="1008"/>
      <c r="H99" s="1003"/>
      <c r="I99" s="1008"/>
      <c r="J99" s="908"/>
      <c r="K99" s="912"/>
      <c r="L99" s="908"/>
      <c r="M99" s="181">
        <v>20</v>
      </c>
      <c r="N99" s="190">
        <f t="shared" si="19"/>
        <v>0.5</v>
      </c>
      <c r="O99" s="181">
        <f>3+15</f>
        <v>18</v>
      </c>
      <c r="P99" s="190">
        <f t="shared" si="19"/>
        <v>0.43902439024390244</v>
      </c>
      <c r="Q99" s="181">
        <v>18</v>
      </c>
      <c r="R99" s="190">
        <f>Q99/R$81</f>
        <v>0.43902439024390244</v>
      </c>
      <c r="S99" s="181">
        <f>2+18</f>
        <v>20</v>
      </c>
      <c r="T99" s="190">
        <f>S99/T$81</f>
        <v>0.44444444444444442</v>
      </c>
      <c r="U99" s="181">
        <v>22</v>
      </c>
      <c r="V99" s="190">
        <f>U99/V$81</f>
        <v>0.51162790697674421</v>
      </c>
      <c r="X99" s="1062">
        <f t="shared" ref="X99:X102" si="24">AVERAGE(S99,Q99,O99,M99,U99)</f>
        <v>19.600000000000001</v>
      </c>
      <c r="Y99" s="1068">
        <f t="shared" ref="Y99:Y102" si="25">AVERAGE(T99,R99,P99,N99,V99)</f>
        <v>0.46682422638179871</v>
      </c>
    </row>
    <row r="100" spans="1:27" ht="12" x14ac:dyDescent="0.2">
      <c r="B100" s="47" t="s">
        <v>79</v>
      </c>
      <c r="C100" s="1008"/>
      <c r="D100" s="908"/>
      <c r="E100" s="912"/>
      <c r="F100" s="1003"/>
      <c r="G100" s="1008"/>
      <c r="H100" s="1003"/>
      <c r="I100" s="1008"/>
      <c r="J100" s="908"/>
      <c r="K100" s="912"/>
      <c r="L100" s="908"/>
      <c r="M100" s="181">
        <v>19</v>
      </c>
      <c r="N100" s="190">
        <f t="shared" si="19"/>
        <v>0.47499999999999998</v>
      </c>
      <c r="O100" s="181">
        <f>15+8</f>
        <v>23</v>
      </c>
      <c r="P100" s="190">
        <f t="shared" si="19"/>
        <v>0.56097560975609762</v>
      </c>
      <c r="Q100" s="181">
        <v>23</v>
      </c>
      <c r="R100" s="190">
        <f>Q100/R$81</f>
        <v>0.56097560975609762</v>
      </c>
      <c r="S100" s="181">
        <f>15+9</f>
        <v>24</v>
      </c>
      <c r="T100" s="190">
        <f>S100/T$81</f>
        <v>0.53333333333333333</v>
      </c>
      <c r="U100" s="181">
        <v>17</v>
      </c>
      <c r="V100" s="190">
        <f>U100/V$81</f>
        <v>0.39534883720930231</v>
      </c>
      <c r="X100" s="1062">
        <f t="shared" si="24"/>
        <v>21.2</v>
      </c>
      <c r="Y100" s="1068">
        <f t="shared" si="25"/>
        <v>0.50512667801096611</v>
      </c>
    </row>
    <row r="101" spans="1:27" ht="12" x14ac:dyDescent="0.2">
      <c r="B101" s="47" t="s">
        <v>80</v>
      </c>
      <c r="C101" s="1008"/>
      <c r="D101" s="908"/>
      <c r="E101" s="912"/>
      <c r="F101" s="1003"/>
      <c r="G101" s="1008"/>
      <c r="H101" s="1003"/>
      <c r="I101" s="1008"/>
      <c r="J101" s="908"/>
      <c r="K101" s="912"/>
      <c r="L101" s="908"/>
      <c r="M101" s="181">
        <v>1</v>
      </c>
      <c r="N101" s="190">
        <f t="shared" si="19"/>
        <v>2.5000000000000001E-2</v>
      </c>
      <c r="O101" s="181">
        <f>0</f>
        <v>0</v>
      </c>
      <c r="P101" s="190">
        <f t="shared" si="19"/>
        <v>0</v>
      </c>
      <c r="Q101" s="181">
        <v>0</v>
      </c>
      <c r="R101" s="190">
        <f>Q101/R$81</f>
        <v>0</v>
      </c>
      <c r="S101" s="181">
        <v>1</v>
      </c>
      <c r="T101" s="190">
        <f>S101/T$81</f>
        <v>2.2222222222222223E-2</v>
      </c>
      <c r="U101" s="181">
        <v>4</v>
      </c>
      <c r="V101" s="190">
        <f>U101/V$81</f>
        <v>9.3023255813953487E-2</v>
      </c>
      <c r="X101" s="1062">
        <f t="shared" si="24"/>
        <v>1.2</v>
      </c>
      <c r="Y101" s="1068">
        <f t="shared" si="25"/>
        <v>2.804909560723514E-2</v>
      </c>
    </row>
    <row r="102" spans="1:27" thickBot="1" x14ac:dyDescent="0.25">
      <c r="B102" s="519" t="s">
        <v>81</v>
      </c>
      <c r="C102" s="1010"/>
      <c r="D102" s="915"/>
      <c r="E102" s="914"/>
      <c r="F102" s="1011"/>
      <c r="G102" s="1010"/>
      <c r="H102" s="1011"/>
      <c r="I102" s="1010"/>
      <c r="J102" s="915"/>
      <c r="K102" s="914"/>
      <c r="L102" s="915"/>
      <c r="M102" s="198">
        <v>0</v>
      </c>
      <c r="N102" s="190">
        <f t="shared" si="19"/>
        <v>0</v>
      </c>
      <c r="O102" s="198">
        <f>0</f>
        <v>0</v>
      </c>
      <c r="P102" s="190">
        <f t="shared" si="19"/>
        <v>0</v>
      </c>
      <c r="Q102" s="198">
        <v>0</v>
      </c>
      <c r="R102" s="190">
        <f>Q102/R$81</f>
        <v>0</v>
      </c>
      <c r="S102" s="198">
        <v>0</v>
      </c>
      <c r="T102" s="190">
        <f>S102/T$81</f>
        <v>0</v>
      </c>
      <c r="U102" s="198">
        <v>0</v>
      </c>
      <c r="V102" s="190">
        <f>U102/V$81</f>
        <v>0</v>
      </c>
      <c r="X102" s="1065">
        <f t="shared" si="24"/>
        <v>0</v>
      </c>
      <c r="Y102" s="1069">
        <f t="shared" si="25"/>
        <v>0</v>
      </c>
    </row>
    <row r="103" spans="1:27" customFormat="1" ht="14.25" thickTop="1" thickBot="1" x14ac:dyDescent="0.25">
      <c r="A103" s="430"/>
      <c r="B103" s="512" t="s">
        <v>112</v>
      </c>
      <c r="C103" s="1249"/>
      <c r="D103" s="1257"/>
      <c r="E103" s="1249"/>
      <c r="F103" s="1257"/>
      <c r="G103" s="1249"/>
      <c r="H103" s="1257"/>
      <c r="I103" s="1254"/>
      <c r="J103" s="1219"/>
      <c r="K103" s="1218"/>
      <c r="L103" s="1219"/>
      <c r="M103" s="1218" t="s">
        <v>161</v>
      </c>
      <c r="N103" s="1219"/>
      <c r="O103" s="1218" t="s">
        <v>180</v>
      </c>
      <c r="P103" s="1219"/>
      <c r="Q103" s="1218" t="s">
        <v>190</v>
      </c>
      <c r="R103" s="1219"/>
      <c r="S103" s="1218" t="s">
        <v>195</v>
      </c>
      <c r="T103" s="1219"/>
      <c r="U103" s="1218" t="s">
        <v>199</v>
      </c>
      <c r="V103" s="1219"/>
      <c r="W103" s="22"/>
      <c r="X103" s="1284" t="s">
        <v>142</v>
      </c>
      <c r="Y103" s="1285"/>
      <c r="Z103" s="432"/>
      <c r="AA103" s="432"/>
    </row>
    <row r="104" spans="1:27" customFormat="1" x14ac:dyDescent="0.2">
      <c r="A104" s="430"/>
      <c r="B104" s="513"/>
      <c r="C104" s="1012"/>
      <c r="D104" s="960"/>
      <c r="E104" s="1012"/>
      <c r="F104" s="960"/>
      <c r="G104" s="1012"/>
      <c r="H104" s="960"/>
      <c r="I104" s="1012"/>
      <c r="J104" s="960"/>
      <c r="K104" s="959"/>
      <c r="L104" s="960"/>
      <c r="M104" s="785" t="s">
        <v>82</v>
      </c>
      <c r="N104" s="515" t="s">
        <v>17</v>
      </c>
      <c r="O104" s="785" t="s">
        <v>82</v>
      </c>
      <c r="P104" s="515" t="s">
        <v>17</v>
      </c>
      <c r="Q104" s="785" t="s">
        <v>82</v>
      </c>
      <c r="R104" s="515" t="s">
        <v>17</v>
      </c>
      <c r="S104" s="785" t="s">
        <v>82</v>
      </c>
      <c r="T104" s="515" t="s">
        <v>17</v>
      </c>
      <c r="U104" s="785" t="s">
        <v>82</v>
      </c>
      <c r="V104" s="515" t="s">
        <v>17</v>
      </c>
      <c r="W104" s="22"/>
      <c r="X104" s="585" t="s">
        <v>82</v>
      </c>
      <c r="Y104" s="516" t="s">
        <v>17</v>
      </c>
      <c r="Z104" s="432"/>
      <c r="AA104" s="432"/>
    </row>
    <row r="105" spans="1:27" customFormat="1" x14ac:dyDescent="0.2">
      <c r="A105" s="430"/>
      <c r="B105" s="283" t="s">
        <v>113</v>
      </c>
      <c r="C105" s="916"/>
      <c r="D105" s="917"/>
      <c r="E105" s="916"/>
      <c r="F105" s="917"/>
      <c r="G105" s="916"/>
      <c r="H105" s="917"/>
      <c r="I105" s="916"/>
      <c r="J105" s="917"/>
      <c r="K105" s="916"/>
      <c r="L105" s="917"/>
      <c r="M105" s="517">
        <v>1</v>
      </c>
      <c r="N105" s="518">
        <v>0.25</v>
      </c>
      <c r="O105" s="517">
        <v>1</v>
      </c>
      <c r="P105" s="518">
        <v>4.7</v>
      </c>
      <c r="Q105" s="517">
        <v>0</v>
      </c>
      <c r="R105" s="518">
        <v>0</v>
      </c>
      <c r="S105" s="517">
        <v>0</v>
      </c>
      <c r="T105" s="518">
        <v>0</v>
      </c>
      <c r="U105" s="517">
        <v>1</v>
      </c>
      <c r="V105" s="518">
        <v>0.5</v>
      </c>
      <c r="W105" s="22"/>
      <c r="X105" s="1058">
        <f t="shared" ref="X105:X107" si="26">AVERAGE(S105,Q105,O105,M105,U105)</f>
        <v>0.6</v>
      </c>
      <c r="Y105" s="1059">
        <f t="shared" ref="Y105:Y107" si="27">AVERAGE(T105,R105,P105,N105,V105)</f>
        <v>1.0900000000000001</v>
      </c>
      <c r="Z105" s="432"/>
      <c r="AA105" s="432"/>
    </row>
    <row r="106" spans="1:27" customFormat="1" x14ac:dyDescent="0.2">
      <c r="A106" s="430"/>
      <c r="B106" s="283" t="s">
        <v>114</v>
      </c>
      <c r="C106" s="916"/>
      <c r="D106" s="917"/>
      <c r="E106" s="916"/>
      <c r="F106" s="917"/>
      <c r="G106" s="916"/>
      <c r="H106" s="917"/>
      <c r="I106" s="916"/>
      <c r="J106" s="917"/>
      <c r="K106" s="916"/>
      <c r="L106" s="917"/>
      <c r="M106" s="517">
        <v>7</v>
      </c>
      <c r="N106" s="518">
        <v>3.5</v>
      </c>
      <c r="O106" s="517">
        <v>8</v>
      </c>
      <c r="P106" s="518">
        <v>3.5</v>
      </c>
      <c r="Q106" s="517">
        <v>5</v>
      </c>
      <c r="R106" s="518">
        <v>2.5</v>
      </c>
      <c r="S106" s="517">
        <v>6</v>
      </c>
      <c r="T106" s="518">
        <v>3</v>
      </c>
      <c r="U106" s="517">
        <v>8</v>
      </c>
      <c r="V106" s="518">
        <v>4</v>
      </c>
      <c r="W106" s="22"/>
      <c r="X106" s="1058">
        <f t="shared" si="26"/>
        <v>6.8</v>
      </c>
      <c r="Y106" s="1059">
        <f t="shared" si="27"/>
        <v>3.3</v>
      </c>
      <c r="Z106" s="1"/>
      <c r="AA106" s="1"/>
    </row>
    <row r="107" spans="1:27" customFormat="1" ht="13.5" thickBot="1" x14ac:dyDescent="0.25">
      <c r="A107" s="430"/>
      <c r="B107" s="519" t="s">
        <v>137</v>
      </c>
      <c r="C107" s="916"/>
      <c r="D107" s="918"/>
      <c r="E107" s="916"/>
      <c r="F107" s="918"/>
      <c r="G107" s="916"/>
      <c r="H107" s="918"/>
      <c r="I107" s="916"/>
      <c r="J107" s="918"/>
      <c r="K107" s="916"/>
      <c r="L107" s="918"/>
      <c r="M107" s="517">
        <v>0</v>
      </c>
      <c r="N107" s="520">
        <v>0</v>
      </c>
      <c r="O107" s="517">
        <v>0</v>
      </c>
      <c r="P107" s="520">
        <v>0</v>
      </c>
      <c r="Q107" s="517">
        <v>0</v>
      </c>
      <c r="R107" s="520">
        <v>0</v>
      </c>
      <c r="S107" s="517">
        <v>0</v>
      </c>
      <c r="T107" s="520">
        <v>0</v>
      </c>
      <c r="U107" s="517">
        <v>0</v>
      </c>
      <c r="V107" s="520">
        <v>0</v>
      </c>
      <c r="W107" s="22"/>
      <c r="X107" s="1058">
        <f t="shared" si="26"/>
        <v>0</v>
      </c>
      <c r="Y107" s="1059">
        <f t="shared" si="27"/>
        <v>0</v>
      </c>
      <c r="Z107" s="1"/>
      <c r="AA107" s="22"/>
    </row>
    <row r="108" spans="1:27" customFormat="1" ht="17.25" thickTop="1" thickBot="1" x14ac:dyDescent="0.3">
      <c r="A108" s="521"/>
      <c r="B108" s="522"/>
      <c r="C108" s="1249"/>
      <c r="D108" s="1257"/>
      <c r="E108" s="1249"/>
      <c r="F108" s="1257"/>
      <c r="G108" s="1249"/>
      <c r="H108" s="1257"/>
      <c r="I108" s="1254"/>
      <c r="J108" s="1219"/>
      <c r="K108" s="1218" t="s">
        <v>169</v>
      </c>
      <c r="L108" s="1219"/>
      <c r="M108" s="1218"/>
      <c r="N108" s="1219"/>
      <c r="O108" s="1218"/>
      <c r="P108" s="1219"/>
      <c r="Q108" s="1218"/>
      <c r="R108" s="1219"/>
      <c r="S108" s="1218"/>
      <c r="T108" s="1219"/>
      <c r="U108" s="1218"/>
      <c r="V108" s="1219"/>
      <c r="W108" s="625"/>
      <c r="X108" s="1286"/>
      <c r="Y108" s="1287"/>
      <c r="Z108" s="22"/>
      <c r="AA108" s="1"/>
    </row>
    <row r="109" spans="1:27" customFormat="1" x14ac:dyDescent="0.2">
      <c r="A109" s="1"/>
      <c r="B109" s="524" t="s">
        <v>136</v>
      </c>
      <c r="C109" s="528"/>
      <c r="D109" s="529"/>
      <c r="E109" s="528"/>
      <c r="F109" s="951"/>
      <c r="G109" s="531"/>
      <c r="H109" s="532"/>
      <c r="I109" s="531"/>
      <c r="J109" s="547"/>
      <c r="K109" s="1038"/>
      <c r="L109" s="1039"/>
      <c r="M109" s="531"/>
      <c r="N109" s="547"/>
      <c r="O109" s="531"/>
      <c r="P109" s="547"/>
      <c r="Q109" s="203"/>
      <c r="R109" s="884"/>
      <c r="S109" s="531"/>
      <c r="T109" s="547"/>
      <c r="U109" s="531"/>
      <c r="V109" s="547"/>
      <c r="W109" s="22"/>
      <c r="X109" s="136"/>
      <c r="Y109" s="136"/>
      <c r="Z109" s="1"/>
      <c r="AA109" s="1"/>
    </row>
    <row r="110" spans="1:27" customFormat="1" x14ac:dyDescent="0.2">
      <c r="A110" s="430"/>
      <c r="B110" s="842" t="s">
        <v>118</v>
      </c>
      <c r="C110" s="537"/>
      <c r="D110" s="538"/>
      <c r="E110" s="1296"/>
      <c r="F110" s="1297"/>
      <c r="G110" s="539"/>
      <c r="H110" s="540"/>
      <c r="I110" s="539"/>
      <c r="J110" s="547"/>
      <c r="K110" s="1043"/>
      <c r="L110" s="1044">
        <f>17.25+7.5+11.5</f>
        <v>36.25</v>
      </c>
      <c r="M110" s="539"/>
      <c r="N110" s="547"/>
      <c r="O110" s="539"/>
      <c r="P110" s="547"/>
      <c r="Q110" s="136"/>
      <c r="R110" s="1044">
        <v>13.6</v>
      </c>
      <c r="S110" s="539"/>
      <c r="T110" s="547"/>
      <c r="U110" s="539"/>
      <c r="V110" s="547"/>
      <c r="W110" s="22"/>
      <c r="X110" s="136"/>
      <c r="Y110" s="1047"/>
      <c r="Z110" s="1"/>
      <c r="AA110" s="1"/>
    </row>
    <row r="111" spans="1:27" customFormat="1" x14ac:dyDescent="0.2">
      <c r="A111" s="430"/>
      <c r="B111" s="843" t="s">
        <v>119</v>
      </c>
      <c r="C111" s="537"/>
      <c r="D111" s="538"/>
      <c r="E111" s="1296"/>
      <c r="F111" s="1297"/>
      <c r="G111" s="539"/>
      <c r="H111" s="540"/>
      <c r="I111" s="539"/>
      <c r="J111" s="547"/>
      <c r="K111" s="1043"/>
      <c r="L111" s="1044"/>
      <c r="M111" s="539"/>
      <c r="N111" s="547"/>
      <c r="O111" s="539"/>
      <c r="P111" s="547"/>
      <c r="Q111" s="136"/>
      <c r="R111" s="1044"/>
      <c r="S111" s="539"/>
      <c r="T111" s="547"/>
      <c r="U111" s="539"/>
      <c r="V111" s="547"/>
      <c r="W111" s="22"/>
      <c r="X111" s="136"/>
      <c r="Y111" s="1047"/>
      <c r="Z111" s="1"/>
      <c r="AA111" s="1"/>
    </row>
    <row r="112" spans="1:27" customFormat="1" x14ac:dyDescent="0.2">
      <c r="A112" s="430"/>
      <c r="B112" s="843" t="s">
        <v>120</v>
      </c>
      <c r="C112" s="537"/>
      <c r="D112" s="538"/>
      <c r="E112" s="1296"/>
      <c r="F112" s="1297"/>
      <c r="G112" s="539"/>
      <c r="H112" s="540"/>
      <c r="I112" s="539"/>
      <c r="J112" s="547"/>
      <c r="K112" s="1043"/>
      <c r="L112" s="1044">
        <v>2</v>
      </c>
      <c r="M112" s="539"/>
      <c r="N112" s="547"/>
      <c r="O112" s="539"/>
      <c r="P112" s="547"/>
      <c r="Q112" s="136"/>
      <c r="R112" s="1044">
        <v>2.5</v>
      </c>
      <c r="S112" s="539"/>
      <c r="T112" s="547"/>
      <c r="U112" s="539"/>
      <c r="V112" s="547"/>
      <c r="W112" s="22"/>
      <c r="X112" s="136"/>
      <c r="Y112" s="1047"/>
      <c r="Z112" s="1"/>
      <c r="AA112" s="1"/>
    </row>
    <row r="113" spans="1:27" customFormat="1" x14ac:dyDescent="0.2">
      <c r="A113" s="430"/>
      <c r="B113" s="842" t="s">
        <v>121</v>
      </c>
      <c r="C113" s="537"/>
      <c r="D113" s="538"/>
      <c r="E113" s="1296"/>
      <c r="F113" s="1297"/>
      <c r="G113" s="539"/>
      <c r="H113" s="540"/>
      <c r="I113" s="539"/>
      <c r="J113" s="547"/>
      <c r="K113" s="1043"/>
      <c r="L113" s="1044">
        <v>2</v>
      </c>
      <c r="M113" s="539"/>
      <c r="N113" s="547"/>
      <c r="O113" s="539"/>
      <c r="P113" s="547"/>
      <c r="Q113" s="136"/>
      <c r="R113" s="1044">
        <v>2</v>
      </c>
      <c r="S113" s="539"/>
      <c r="T113" s="547"/>
      <c r="U113" s="539"/>
      <c r="V113" s="547"/>
      <c r="W113" s="22"/>
      <c r="X113" s="136"/>
      <c r="Y113" s="1047"/>
      <c r="Z113" s="1"/>
      <c r="AA113" s="1"/>
    </row>
    <row r="114" spans="1:27" customFormat="1" x14ac:dyDescent="0.2">
      <c r="A114" s="430"/>
      <c r="B114" s="844" t="s">
        <v>122</v>
      </c>
      <c r="C114" s="537"/>
      <c r="D114" s="538"/>
      <c r="E114" s="1296"/>
      <c r="F114" s="1297"/>
      <c r="G114" s="539"/>
      <c r="H114" s="540"/>
      <c r="I114" s="539"/>
      <c r="J114" s="547"/>
      <c r="K114" s="1043"/>
      <c r="L114" s="1044">
        <f>7.2+9.2+6.2</f>
        <v>22.599999999999998</v>
      </c>
      <c r="M114" s="539"/>
      <c r="N114" s="547"/>
      <c r="O114" s="539"/>
      <c r="P114" s="547"/>
      <c r="Q114" s="136"/>
      <c r="R114" s="1044">
        <f>10.91+6.47</f>
        <v>17.38</v>
      </c>
      <c r="S114" s="539"/>
      <c r="T114" s="547"/>
      <c r="U114" s="539"/>
      <c r="V114" s="547"/>
      <c r="W114" s="22"/>
      <c r="X114" s="136"/>
      <c r="Y114" s="1047"/>
      <c r="Z114" s="1"/>
      <c r="AA114" s="1"/>
    </row>
    <row r="115" spans="1:27" customFormat="1" x14ac:dyDescent="0.2">
      <c r="A115" s="430"/>
      <c r="B115" s="844" t="s">
        <v>123</v>
      </c>
      <c r="C115" s="537"/>
      <c r="D115" s="538"/>
      <c r="E115" s="1296"/>
      <c r="F115" s="1297"/>
      <c r="G115" s="539"/>
      <c r="H115" s="540"/>
      <c r="I115" s="539"/>
      <c r="J115" s="547"/>
      <c r="K115" s="1043"/>
      <c r="L115" s="1044">
        <f>SUM(L110:L114)</f>
        <v>62.849999999999994</v>
      </c>
      <c r="M115" s="539"/>
      <c r="N115" s="547"/>
      <c r="O115" s="539"/>
      <c r="P115" s="547"/>
      <c r="Q115" s="136"/>
      <c r="R115" s="1044">
        <f>SUM(R110:R114)</f>
        <v>35.480000000000004</v>
      </c>
      <c r="S115" s="539"/>
      <c r="T115" s="547"/>
      <c r="U115" s="539"/>
      <c r="V115" s="547"/>
      <c r="W115" s="22"/>
      <c r="X115" s="136"/>
      <c r="Y115" s="1047"/>
      <c r="Z115" s="1"/>
      <c r="AA115" s="1"/>
    </row>
    <row r="116" spans="1:27" customFormat="1" ht="13.5" thickBot="1" x14ac:dyDescent="0.25">
      <c r="A116" s="430"/>
      <c r="B116" s="649" t="s">
        <v>130</v>
      </c>
      <c r="C116" s="531"/>
      <c r="D116" s="547"/>
      <c r="E116" s="1294"/>
      <c r="F116" s="1295"/>
      <c r="G116" s="539"/>
      <c r="H116" s="540"/>
      <c r="I116" s="539"/>
      <c r="J116" s="547"/>
      <c r="K116" s="1043"/>
      <c r="L116" s="884"/>
      <c r="M116" s="539"/>
      <c r="N116" s="547"/>
      <c r="O116" s="539"/>
      <c r="P116" s="547"/>
      <c r="Q116" s="136"/>
      <c r="R116" s="884"/>
      <c r="S116" s="539"/>
      <c r="T116" s="547"/>
      <c r="U116" s="539"/>
      <c r="V116" s="547"/>
      <c r="W116" s="22"/>
      <c r="X116" s="136"/>
      <c r="Y116" s="1047"/>
      <c r="Z116" s="1"/>
      <c r="AA116" s="1"/>
    </row>
    <row r="117" spans="1:27" customFormat="1" x14ac:dyDescent="0.2">
      <c r="A117" s="430"/>
      <c r="B117" s="842" t="s">
        <v>124</v>
      </c>
      <c r="C117" s="550"/>
      <c r="D117" s="551"/>
      <c r="E117" s="1292"/>
      <c r="F117" s="1293"/>
      <c r="G117" s="539"/>
      <c r="H117" s="540"/>
      <c r="I117" s="539"/>
      <c r="J117" s="547"/>
      <c r="K117" s="1045"/>
      <c r="L117" s="1046">
        <f>2341+1890+1414</f>
        <v>5645</v>
      </c>
      <c r="M117" s="539"/>
      <c r="N117" s="547"/>
      <c r="O117" s="539"/>
      <c r="P117" s="547"/>
      <c r="Q117" s="136"/>
      <c r="R117" s="1046">
        <v>3061</v>
      </c>
      <c r="S117" s="539"/>
      <c r="T117" s="547"/>
      <c r="U117" s="539"/>
      <c r="V117" s="547"/>
      <c r="W117" s="22"/>
      <c r="X117" s="136"/>
      <c r="Y117" s="1047"/>
      <c r="Z117" s="1"/>
      <c r="AA117" s="1"/>
    </row>
    <row r="118" spans="1:27" customFormat="1" x14ac:dyDescent="0.2">
      <c r="A118" s="430"/>
      <c r="B118" s="844" t="s">
        <v>125</v>
      </c>
      <c r="C118" s="550"/>
      <c r="D118" s="551"/>
      <c r="E118" s="1292"/>
      <c r="F118" s="1293"/>
      <c r="G118" s="539"/>
      <c r="H118" s="540"/>
      <c r="I118" s="539"/>
      <c r="J118" s="547"/>
      <c r="K118" s="1045"/>
      <c r="L118" s="1046">
        <f>269+306</f>
        <v>575</v>
      </c>
      <c r="M118" s="539"/>
      <c r="N118" s="547"/>
      <c r="O118" s="539"/>
      <c r="P118" s="547"/>
      <c r="Q118" s="136"/>
      <c r="R118" s="1046">
        <v>624</v>
      </c>
      <c r="S118" s="539"/>
      <c r="T118" s="547"/>
      <c r="U118" s="539"/>
      <c r="V118" s="547"/>
      <c r="W118" s="22"/>
      <c r="X118" s="136"/>
      <c r="Y118" s="1047"/>
      <c r="Z118" s="1"/>
      <c r="AA118" s="1"/>
    </row>
    <row r="119" spans="1:27" customFormat="1" x14ac:dyDescent="0.2">
      <c r="A119" s="430"/>
      <c r="B119" s="844" t="s">
        <v>126</v>
      </c>
      <c r="C119" s="550"/>
      <c r="D119" s="551"/>
      <c r="E119" s="1292"/>
      <c r="F119" s="1293"/>
      <c r="G119" s="539"/>
      <c r="H119" s="540"/>
      <c r="I119" s="539"/>
      <c r="J119" s="547"/>
      <c r="K119" s="1045"/>
      <c r="L119" s="1046">
        <f>506+695+664+297+1432</f>
        <v>3594</v>
      </c>
      <c r="M119" s="539"/>
      <c r="N119" s="547"/>
      <c r="O119" s="539"/>
      <c r="P119" s="547"/>
      <c r="Q119" s="136"/>
      <c r="R119" s="1046">
        <f>1297+1780</f>
        <v>3077</v>
      </c>
      <c r="S119" s="539"/>
      <c r="T119" s="547"/>
      <c r="U119" s="539"/>
      <c r="V119" s="547"/>
      <c r="W119" s="22"/>
      <c r="X119" s="136"/>
      <c r="Y119" s="1047"/>
      <c r="Z119" s="1"/>
      <c r="AA119" s="1"/>
    </row>
    <row r="120" spans="1:27" customFormat="1" x14ac:dyDescent="0.2">
      <c r="A120" s="430"/>
      <c r="B120" s="844" t="s">
        <v>135</v>
      </c>
      <c r="C120" s="550"/>
      <c r="D120" s="551"/>
      <c r="E120" s="1292"/>
      <c r="F120" s="1293"/>
      <c r="G120" s="539"/>
      <c r="H120" s="540"/>
      <c r="I120" s="539"/>
      <c r="J120" s="547"/>
      <c r="K120" s="1045"/>
      <c r="L120" s="1046">
        <f>SUM(L117:L119)</f>
        <v>9814</v>
      </c>
      <c r="M120" s="539"/>
      <c r="N120" s="547"/>
      <c r="O120" s="539"/>
      <c r="P120" s="547"/>
      <c r="Q120" s="136"/>
      <c r="R120" s="1046">
        <f>SUM(R117:R119)</f>
        <v>6762</v>
      </c>
      <c r="S120" s="539"/>
      <c r="T120" s="547"/>
      <c r="U120" s="539"/>
      <c r="V120" s="547"/>
      <c r="W120" s="22"/>
      <c r="X120" s="136"/>
      <c r="Y120" s="1047"/>
      <c r="Z120" s="1"/>
      <c r="AA120" s="1"/>
    </row>
    <row r="121" spans="1:27" customFormat="1" ht="13.5" thickBot="1" x14ac:dyDescent="0.25">
      <c r="A121" s="430"/>
      <c r="B121" s="544" t="s">
        <v>131</v>
      </c>
      <c r="C121" s="531"/>
      <c r="D121" s="547"/>
      <c r="E121" s="1294"/>
      <c r="F121" s="1295"/>
      <c r="G121" s="539"/>
      <c r="H121" s="540"/>
      <c r="I121" s="539"/>
      <c r="J121" s="547"/>
      <c r="K121" s="1047"/>
      <c r="L121" s="1044"/>
      <c r="M121" s="539"/>
      <c r="N121" s="547"/>
      <c r="O121" s="539"/>
      <c r="P121" s="547"/>
      <c r="Q121" s="136"/>
      <c r="R121" s="1044"/>
      <c r="S121" s="539"/>
      <c r="T121" s="547"/>
      <c r="U121" s="539"/>
      <c r="V121" s="547"/>
      <c r="W121" s="22"/>
      <c r="X121" s="136"/>
      <c r="Y121" s="1047"/>
      <c r="Z121" s="22"/>
      <c r="AA121" s="22"/>
    </row>
    <row r="122" spans="1:27" customFormat="1" x14ac:dyDescent="0.2">
      <c r="A122" s="430"/>
      <c r="B122" s="534" t="s">
        <v>132</v>
      </c>
      <c r="C122" s="554"/>
      <c r="D122" s="555"/>
      <c r="E122" s="1290"/>
      <c r="F122" s="1291"/>
      <c r="G122" s="556"/>
      <c r="H122" s="557"/>
      <c r="I122" s="556"/>
      <c r="J122" s="555"/>
      <c r="K122" s="1047"/>
      <c r="L122" s="888">
        <f>L117/L110</f>
        <v>155.72413793103448</v>
      </c>
      <c r="M122" s="556"/>
      <c r="N122" s="555"/>
      <c r="O122" s="556"/>
      <c r="P122" s="555"/>
      <c r="Q122" s="774"/>
      <c r="R122" s="888">
        <f>R117/R110</f>
        <v>225.07352941176472</v>
      </c>
      <c r="S122" s="556"/>
      <c r="T122" s="555"/>
      <c r="U122" s="556"/>
      <c r="V122" s="555"/>
      <c r="W122" s="626"/>
      <c r="X122" s="774"/>
      <c r="Y122" s="1047"/>
      <c r="Z122" s="432"/>
      <c r="AA122" s="432"/>
    </row>
    <row r="123" spans="1:27" customFormat="1" x14ac:dyDescent="0.2">
      <c r="A123" s="430"/>
      <c r="B123" s="543" t="s">
        <v>133</v>
      </c>
      <c r="C123" s="554"/>
      <c r="D123" s="555"/>
      <c r="E123" s="1290"/>
      <c r="F123" s="1291"/>
      <c r="G123" s="556"/>
      <c r="H123" s="557"/>
      <c r="I123" s="556"/>
      <c r="J123" s="555"/>
      <c r="K123" s="1047"/>
      <c r="L123" s="888">
        <f>L118/L112</f>
        <v>287.5</v>
      </c>
      <c r="M123" s="556"/>
      <c r="N123" s="555"/>
      <c r="O123" s="556"/>
      <c r="P123" s="555"/>
      <c r="Q123" s="774"/>
      <c r="R123" s="888">
        <f>R118/(R112+R113)</f>
        <v>138.66666666666666</v>
      </c>
      <c r="S123" s="556"/>
      <c r="T123" s="555"/>
      <c r="U123" s="556"/>
      <c r="V123" s="555"/>
      <c r="W123" s="626"/>
      <c r="X123" s="774"/>
      <c r="Y123" s="1047"/>
      <c r="Z123" s="432"/>
      <c r="AA123" s="432"/>
    </row>
    <row r="124" spans="1:27" customFormat="1" x14ac:dyDescent="0.2">
      <c r="A124" s="430"/>
      <c r="B124" s="543" t="s">
        <v>134</v>
      </c>
      <c r="C124" s="554"/>
      <c r="D124" s="555"/>
      <c r="E124" s="1290"/>
      <c r="F124" s="1291"/>
      <c r="G124" s="556"/>
      <c r="H124" s="557"/>
      <c r="I124" s="556"/>
      <c r="J124" s="555"/>
      <c r="K124" s="1047"/>
      <c r="L124" s="888">
        <f>L119/L114</f>
        <v>159.02654867256638</v>
      </c>
      <c r="M124" s="556"/>
      <c r="N124" s="555"/>
      <c r="O124" s="556"/>
      <c r="P124" s="555"/>
      <c r="Q124" s="774"/>
      <c r="R124" s="888">
        <f>R119/R114</f>
        <v>177.04257767548907</v>
      </c>
      <c r="S124" s="556"/>
      <c r="T124" s="555"/>
      <c r="U124" s="556"/>
      <c r="V124" s="555"/>
      <c r="W124" s="626"/>
      <c r="X124" s="774"/>
      <c r="Y124" s="1047"/>
      <c r="Z124" s="432"/>
      <c r="AA124" s="432"/>
    </row>
    <row r="125" spans="1:27" customFormat="1" ht="13.5" thickBot="1" x14ac:dyDescent="0.25">
      <c r="A125" s="430"/>
      <c r="B125" s="559" t="s">
        <v>127</v>
      </c>
      <c r="C125" s="562"/>
      <c r="D125" s="563"/>
      <c r="E125" s="1288"/>
      <c r="F125" s="1289"/>
      <c r="G125" s="562"/>
      <c r="H125" s="563"/>
      <c r="I125" s="562"/>
      <c r="J125" s="563"/>
      <c r="K125" s="1052"/>
      <c r="L125" s="889">
        <f>L120/L115</f>
        <v>156.14956245027847</v>
      </c>
      <c r="M125" s="562"/>
      <c r="N125" s="563"/>
      <c r="O125" s="562"/>
      <c r="P125" s="563"/>
      <c r="Q125" s="1190"/>
      <c r="R125" s="889">
        <f>R120/R115</f>
        <v>190.58624577226604</v>
      </c>
      <c r="S125" s="562"/>
      <c r="T125" s="563"/>
      <c r="U125" s="562"/>
      <c r="V125" s="563"/>
      <c r="W125" s="626"/>
      <c r="X125" s="774"/>
      <c r="Y125" s="1047"/>
      <c r="Z125" s="432"/>
      <c r="AA125" s="432"/>
    </row>
    <row r="126" spans="1:27" ht="13.5" thickTop="1" x14ac:dyDescent="0.2">
      <c r="B126" s="1" t="str">
        <f>'ED Sum'!B117</f>
        <v>*Note: For the 2009 collection cycle and later, Instructional FTE was defined according to the national Delaware Study of Instructional Costs and Productivity</v>
      </c>
    </row>
  </sheetData>
  <mergeCells count="107">
    <mergeCell ref="E125:F125"/>
    <mergeCell ref="E122:F122"/>
    <mergeCell ref="E123:F123"/>
    <mergeCell ref="E124:F124"/>
    <mergeCell ref="E119:F119"/>
    <mergeCell ref="E120:F120"/>
    <mergeCell ref="E121:F121"/>
    <mergeCell ref="M103:N103"/>
    <mergeCell ref="Q108:R108"/>
    <mergeCell ref="Q103:R103"/>
    <mergeCell ref="O103:P103"/>
    <mergeCell ref="E118:F118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X103:Y103"/>
    <mergeCell ref="C108:D108"/>
    <mergeCell ref="E108:F108"/>
    <mergeCell ref="G108:H108"/>
    <mergeCell ref="I108:J108"/>
    <mergeCell ref="K108:L108"/>
    <mergeCell ref="G103:H103"/>
    <mergeCell ref="I103:J103"/>
    <mergeCell ref="K103:L103"/>
    <mergeCell ref="M108:N108"/>
    <mergeCell ref="X108:Y108"/>
    <mergeCell ref="E103:F103"/>
    <mergeCell ref="C103:D103"/>
    <mergeCell ref="S103:T103"/>
    <mergeCell ref="S108:T108"/>
    <mergeCell ref="O108:P108"/>
    <mergeCell ref="U103:V103"/>
    <mergeCell ref="U108:V108"/>
    <mergeCell ref="X73:Y73"/>
    <mergeCell ref="O73:P73"/>
    <mergeCell ref="I44:J44"/>
    <mergeCell ref="E48:F48"/>
    <mergeCell ref="G48:H48"/>
    <mergeCell ref="I48:J48"/>
    <mergeCell ref="K48:L48"/>
    <mergeCell ref="K44:L44"/>
    <mergeCell ref="O44:P44"/>
    <mergeCell ref="O48:P48"/>
    <mergeCell ref="Q73:R73"/>
    <mergeCell ref="Q48:R48"/>
    <mergeCell ref="S48:T48"/>
    <mergeCell ref="S73:T73"/>
    <mergeCell ref="X44:Y44"/>
    <mergeCell ref="X48:Y48"/>
    <mergeCell ref="U73:V73"/>
    <mergeCell ref="S44:T44"/>
    <mergeCell ref="Q44:R44"/>
    <mergeCell ref="M48:N48"/>
    <mergeCell ref="U44:V44"/>
    <mergeCell ref="U48:V48"/>
    <mergeCell ref="C44:D44"/>
    <mergeCell ref="E44:F44"/>
    <mergeCell ref="M44:N44"/>
    <mergeCell ref="O33:P33"/>
    <mergeCell ref="O41:P41"/>
    <mergeCell ref="C41:D41"/>
    <mergeCell ref="G44:H44"/>
    <mergeCell ref="M73:N73"/>
    <mergeCell ref="E7:F7"/>
    <mergeCell ref="G7:H7"/>
    <mergeCell ref="I7:J7"/>
    <mergeCell ref="K7:L7"/>
    <mergeCell ref="C73:D73"/>
    <mergeCell ref="E73:F73"/>
    <mergeCell ref="G73:H73"/>
    <mergeCell ref="I73:J73"/>
    <mergeCell ref="K73:L73"/>
    <mergeCell ref="C33:D33"/>
    <mergeCell ref="C48:D48"/>
    <mergeCell ref="E33:F33"/>
    <mergeCell ref="M7:N7"/>
    <mergeCell ref="E41:F41"/>
    <mergeCell ref="I41:J41"/>
    <mergeCell ref="K41:L41"/>
    <mergeCell ref="X41:Y41"/>
    <mergeCell ref="C42:D42"/>
    <mergeCell ref="E42:F42"/>
    <mergeCell ref="C43:D43"/>
    <mergeCell ref="E43:F43"/>
    <mergeCell ref="S41:T41"/>
    <mergeCell ref="X7:Y7"/>
    <mergeCell ref="G33:H33"/>
    <mergeCell ref="I33:J33"/>
    <mergeCell ref="M33:N33"/>
    <mergeCell ref="X33:Y33"/>
    <mergeCell ref="K33:L33"/>
    <mergeCell ref="M41:N41"/>
    <mergeCell ref="O7:P7"/>
    <mergeCell ref="Q7:R7"/>
    <mergeCell ref="Q33:R33"/>
    <mergeCell ref="Q41:R41"/>
    <mergeCell ref="S7:T7"/>
    <mergeCell ref="S33:T33"/>
    <mergeCell ref="G41:H41"/>
    <mergeCell ref="U7:V7"/>
    <mergeCell ref="U33:V33"/>
    <mergeCell ref="U41:V41"/>
  </mergeCells>
  <phoneticPr fontId="17" type="noConversion"/>
  <printOptions horizontalCentered="1"/>
  <pageMargins left="0.7" right="0.7" top="0.25" bottom="0.25" header="0.3" footer="0.3"/>
  <pageSetup scale="68" orientation="landscape" r:id="rId1"/>
  <rowBreaks count="1" manualBreakCount="1">
    <brk id="69" max="20" man="1"/>
  </rowBreaks>
  <colBreaks count="1" manualBreakCount="1">
    <brk id="25" max="1048575" man="1"/>
  </colBreaks>
  <ignoredErrors>
    <ignoredError sqref="O83:O102 Q83 S83:S10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8"/>
  <sheetViews>
    <sheetView view="pageBreakPreview" zoomScaleNormal="100" workbookViewId="0">
      <pane xSplit="4" topLeftCell="E1" activePane="topRight" state="frozen"/>
      <selection activeCell="AD88" sqref="AD88"/>
      <selection pane="topRight" activeCell="AD88" sqref="AD88"/>
    </sheetView>
  </sheetViews>
  <sheetFormatPr defaultRowHeight="12.75" x14ac:dyDescent="0.2"/>
  <cols>
    <col min="1" max="1" width="1.7109375" style="1" customWidth="1"/>
    <col min="2" max="2" width="38.28515625" style="1" customWidth="1"/>
    <col min="3" max="3" width="7.7109375" hidden="1" customWidth="1"/>
    <col min="4" max="4" width="12.140625" hidden="1" customWidth="1"/>
    <col min="5" max="5" width="7.7109375" style="204" hidden="1" customWidth="1"/>
    <col min="6" max="6" width="12" style="204" hidden="1" customWidth="1"/>
    <col min="7" max="7" width="7.7109375" style="204" hidden="1" customWidth="1"/>
    <col min="8" max="8" width="11.140625" style="204" hidden="1" customWidth="1"/>
    <col min="9" max="9" width="7.5703125" style="1" hidden="1" customWidth="1"/>
    <col min="10" max="10" width="11" style="1" hidden="1" customWidth="1"/>
    <col min="11" max="11" width="7.7109375" hidden="1" customWidth="1"/>
    <col min="12" max="12" width="10.7109375" hidden="1" customWidth="1"/>
    <col min="13" max="13" width="7.7109375" customWidth="1"/>
    <col min="14" max="14" width="11.140625" customWidth="1"/>
    <col min="15" max="15" width="7.7109375" customWidth="1"/>
    <col min="16" max="16" width="11.140625" customWidth="1"/>
    <col min="17" max="17" width="7.7109375" customWidth="1"/>
    <col min="18" max="18" width="11.140625" customWidth="1"/>
    <col min="19" max="19" width="7.7109375" customWidth="1"/>
    <col min="20" max="20" width="11.140625" customWidth="1"/>
    <col min="21" max="21" width="7.7109375" customWidth="1"/>
    <col min="22" max="22" width="11.140625" customWidth="1"/>
    <col min="23" max="23" width="7.7109375" customWidth="1"/>
    <col min="24" max="24" width="11.140625" customWidth="1"/>
    <col min="25" max="25" width="2.28515625" customWidth="1"/>
    <col min="26" max="26" width="10.28515625" customWidth="1"/>
    <col min="27" max="27" width="12.140625" customWidth="1"/>
    <col min="28" max="28" width="3.42578125" customWidth="1"/>
  </cols>
  <sheetData>
    <row r="1" spans="1:27" ht="18" x14ac:dyDescent="0.25">
      <c r="A1" s="694" t="str">
        <f>Dean_Ed!A1</f>
        <v>Department Profile Report - FY 2015</v>
      </c>
      <c r="B1" s="694"/>
      <c r="C1" s="694"/>
      <c r="D1" s="694"/>
      <c r="E1" s="694"/>
      <c r="F1" s="694"/>
      <c r="G1" s="695"/>
      <c r="H1" s="695"/>
      <c r="I1" s="404"/>
      <c r="J1" s="404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6"/>
      <c r="V1" s="696"/>
      <c r="W1" s="696"/>
      <c r="X1" s="696"/>
      <c r="Y1" s="696"/>
      <c r="Z1" s="696"/>
      <c r="AA1" s="696"/>
    </row>
    <row r="2" spans="1:27" x14ac:dyDescent="0.2">
      <c r="C2" s="1"/>
      <c r="D2" s="1"/>
      <c r="E2" s="203"/>
      <c r="F2" s="203"/>
      <c r="G2" s="203"/>
      <c r="H2" s="203"/>
    </row>
    <row r="3" spans="1:27" x14ac:dyDescent="0.2">
      <c r="A3" s="3" t="s">
        <v>102</v>
      </c>
      <c r="C3" s="1"/>
      <c r="D3" s="1"/>
      <c r="E3" s="203"/>
      <c r="F3" s="203"/>
      <c r="G3" s="203"/>
      <c r="H3" s="203"/>
    </row>
    <row r="4" spans="1:27" x14ac:dyDescent="0.2">
      <c r="C4" s="1" t="s">
        <v>103</v>
      </c>
      <c r="D4" s="1"/>
      <c r="E4" s="203"/>
      <c r="F4" s="203"/>
      <c r="G4" s="203"/>
      <c r="H4" s="203"/>
    </row>
    <row r="5" spans="1:27" ht="7.5" customHeight="1" x14ac:dyDescent="0.2">
      <c r="C5" s="1"/>
      <c r="D5" s="1"/>
      <c r="E5" s="203"/>
      <c r="F5" s="203"/>
      <c r="G5" s="203"/>
      <c r="H5" s="203"/>
    </row>
    <row r="6" spans="1:27" ht="13.5" thickBot="1" x14ac:dyDescent="0.25">
      <c r="A6" s="3" t="s">
        <v>54</v>
      </c>
      <c r="C6" s="1"/>
      <c r="D6" s="1"/>
      <c r="E6" s="203"/>
      <c r="F6" s="203"/>
      <c r="G6" s="203"/>
      <c r="H6" s="203"/>
    </row>
    <row r="7" spans="1:27" ht="13.5" thickTop="1" x14ac:dyDescent="0.2">
      <c r="B7" s="42"/>
      <c r="C7" s="10" t="s">
        <v>29</v>
      </c>
      <c r="D7" s="7"/>
      <c r="E7" s="252" t="s">
        <v>89</v>
      </c>
      <c r="F7" s="363"/>
      <c r="G7" s="1278" t="s">
        <v>99</v>
      </c>
      <c r="H7" s="1278"/>
      <c r="I7" s="1281" t="s">
        <v>101</v>
      </c>
      <c r="J7" s="1278"/>
      <c r="K7" s="1281" t="s">
        <v>106</v>
      </c>
      <c r="L7" s="1279"/>
      <c r="M7" s="1278" t="s">
        <v>155</v>
      </c>
      <c r="N7" s="1279"/>
      <c r="O7" s="1278" t="s">
        <v>160</v>
      </c>
      <c r="P7" s="1279"/>
      <c r="Q7" s="1278" t="s">
        <v>179</v>
      </c>
      <c r="R7" s="1279"/>
      <c r="S7" s="1278" t="s">
        <v>189</v>
      </c>
      <c r="T7" s="1279"/>
      <c r="U7" s="1278" t="s">
        <v>194</v>
      </c>
      <c r="V7" s="1279"/>
      <c r="W7" s="1278" t="s">
        <v>198</v>
      </c>
      <c r="X7" s="1279"/>
      <c r="Z7" s="1305" t="s">
        <v>142</v>
      </c>
      <c r="AA7" s="1306"/>
    </row>
    <row r="8" spans="1:27" x14ac:dyDescent="0.2">
      <c r="B8" s="43"/>
      <c r="C8" s="11" t="s">
        <v>0</v>
      </c>
      <c r="D8" s="8" t="s">
        <v>1</v>
      </c>
      <c r="E8" s="253" t="s">
        <v>0</v>
      </c>
      <c r="F8" s="337" t="s">
        <v>1</v>
      </c>
      <c r="G8" s="205" t="s">
        <v>0</v>
      </c>
      <c r="H8" s="387" t="s">
        <v>1</v>
      </c>
      <c r="I8" s="253" t="s">
        <v>0</v>
      </c>
      <c r="J8" s="387" t="s">
        <v>1</v>
      </c>
      <c r="K8" s="253" t="s">
        <v>0</v>
      </c>
      <c r="L8" s="337" t="s">
        <v>1</v>
      </c>
      <c r="M8" s="205" t="s">
        <v>0</v>
      </c>
      <c r="N8" s="337" t="s">
        <v>1</v>
      </c>
      <c r="O8" s="205" t="s">
        <v>0</v>
      </c>
      <c r="P8" s="337" t="s">
        <v>1</v>
      </c>
      <c r="Q8" s="205" t="s">
        <v>0</v>
      </c>
      <c r="R8" s="337" t="s">
        <v>1</v>
      </c>
      <c r="S8" s="205" t="s">
        <v>0</v>
      </c>
      <c r="T8" s="337" t="s">
        <v>1</v>
      </c>
      <c r="U8" s="205" t="s">
        <v>0</v>
      </c>
      <c r="V8" s="337" t="s">
        <v>1</v>
      </c>
      <c r="W8" s="205" t="s">
        <v>0</v>
      </c>
      <c r="X8" s="337" t="s">
        <v>1</v>
      </c>
      <c r="Z8" s="697" t="s">
        <v>0</v>
      </c>
      <c r="AA8" s="622" t="s">
        <v>144</v>
      </c>
    </row>
    <row r="9" spans="1:27" ht="13.5" thickBot="1" x14ac:dyDescent="0.25">
      <c r="B9" s="44"/>
      <c r="C9" s="75" t="s">
        <v>2</v>
      </c>
      <c r="D9" s="249" t="s">
        <v>3</v>
      </c>
      <c r="E9" s="254" t="s">
        <v>2</v>
      </c>
      <c r="F9" s="354" t="s">
        <v>3</v>
      </c>
      <c r="G9" s="336" t="s">
        <v>2</v>
      </c>
      <c r="H9" s="373" t="s">
        <v>3</v>
      </c>
      <c r="I9" s="254" t="s">
        <v>2</v>
      </c>
      <c r="J9" s="373" t="s">
        <v>3</v>
      </c>
      <c r="K9" s="254" t="s">
        <v>2</v>
      </c>
      <c r="L9" s="354" t="s">
        <v>3</v>
      </c>
      <c r="M9" s="336" t="s">
        <v>2</v>
      </c>
      <c r="N9" s="354" t="s">
        <v>3</v>
      </c>
      <c r="O9" s="336" t="s">
        <v>2</v>
      </c>
      <c r="P9" s="354" t="s">
        <v>3</v>
      </c>
      <c r="Q9" s="336" t="s">
        <v>2</v>
      </c>
      <c r="R9" s="354" t="s">
        <v>3</v>
      </c>
      <c r="S9" s="336" t="s">
        <v>2</v>
      </c>
      <c r="T9" s="354" t="s">
        <v>3</v>
      </c>
      <c r="U9" s="336" t="s">
        <v>2</v>
      </c>
      <c r="V9" s="354" t="s">
        <v>3</v>
      </c>
      <c r="W9" s="336" t="s">
        <v>2</v>
      </c>
      <c r="X9" s="354" t="s">
        <v>3</v>
      </c>
      <c r="Z9" s="698" t="s">
        <v>2</v>
      </c>
      <c r="AA9" s="623" t="s">
        <v>3</v>
      </c>
    </row>
    <row r="10" spans="1:27" x14ac:dyDescent="0.2">
      <c r="B10" s="45" t="s">
        <v>4</v>
      </c>
      <c r="C10" s="77"/>
      <c r="D10" s="97"/>
      <c r="E10" s="255"/>
      <c r="F10" s="122"/>
      <c r="G10" s="121"/>
      <c r="H10" s="122"/>
      <c r="I10" s="121"/>
      <c r="J10" s="250"/>
      <c r="K10" s="255"/>
      <c r="L10" s="122"/>
      <c r="M10" s="121"/>
      <c r="N10" s="122"/>
      <c r="O10" s="121"/>
      <c r="P10" s="122"/>
      <c r="Q10" s="121"/>
      <c r="R10" s="122"/>
      <c r="S10" s="121"/>
      <c r="T10" s="122"/>
      <c r="U10" s="121"/>
      <c r="V10" s="122"/>
      <c r="W10" s="121"/>
      <c r="X10" s="122"/>
      <c r="Z10" s="699"/>
      <c r="AA10" s="617"/>
    </row>
    <row r="11" spans="1:27" x14ac:dyDescent="0.2">
      <c r="B11" s="326" t="s">
        <v>158</v>
      </c>
      <c r="C11" s="14"/>
      <c r="D11" s="506"/>
      <c r="E11" s="136"/>
      <c r="F11" s="355"/>
      <c r="G11" s="136"/>
      <c r="H11" s="355"/>
      <c r="I11" s="124"/>
      <c r="J11" s="208"/>
      <c r="K11" s="130"/>
      <c r="L11" s="355"/>
      <c r="M11" s="323"/>
      <c r="N11" s="355"/>
      <c r="O11" s="323"/>
      <c r="P11" s="355"/>
      <c r="Q11" s="323"/>
      <c r="R11" s="355"/>
      <c r="S11" s="323"/>
      <c r="T11" s="355"/>
      <c r="U11" s="323"/>
      <c r="V11" s="355"/>
      <c r="W11" s="323"/>
      <c r="X11" s="355"/>
      <c r="Z11" s="700"/>
      <c r="AA11" s="862"/>
    </row>
    <row r="12" spans="1:27" x14ac:dyDescent="0.2">
      <c r="B12" s="47" t="s">
        <v>32</v>
      </c>
      <c r="C12" s="201">
        <v>29</v>
      </c>
      <c r="D12" s="71">
        <v>20</v>
      </c>
      <c r="E12" s="126">
        <v>30</v>
      </c>
      <c r="F12" s="423">
        <v>15</v>
      </c>
      <c r="G12" s="126">
        <v>41</v>
      </c>
      <c r="H12" s="423">
        <v>18</v>
      </c>
      <c r="I12" s="124">
        <v>44</v>
      </c>
      <c r="J12" s="442">
        <v>19</v>
      </c>
      <c r="K12" s="130">
        <v>45</v>
      </c>
      <c r="L12" s="355">
        <v>27</v>
      </c>
      <c r="M12" s="323">
        <v>28</v>
      </c>
      <c r="N12" s="355">
        <v>14</v>
      </c>
      <c r="O12" s="323">
        <v>20</v>
      </c>
      <c r="P12" s="355">
        <v>9</v>
      </c>
      <c r="Q12" s="323">
        <v>46</v>
      </c>
      <c r="R12" s="355">
        <v>4</v>
      </c>
      <c r="S12" s="323">
        <v>42</v>
      </c>
      <c r="T12" s="355">
        <v>33</v>
      </c>
      <c r="U12" s="323">
        <v>33</v>
      </c>
      <c r="V12" s="355">
        <v>13</v>
      </c>
      <c r="W12" s="323">
        <v>38</v>
      </c>
      <c r="X12" s="1158"/>
      <c r="Z12" s="861">
        <f>AVERAGE(W12,S12,Q12,U12,O12)</f>
        <v>35.799999999999997</v>
      </c>
      <c r="AA12" s="863">
        <f t="shared" ref="AA12:AA13" si="0">AVERAGE(X12,T12,R12,V12,P12)</f>
        <v>14.75</v>
      </c>
    </row>
    <row r="13" spans="1:27" x14ac:dyDescent="0.2">
      <c r="A13" s="430"/>
      <c r="B13" s="47" t="s">
        <v>6</v>
      </c>
      <c r="C13" s="106">
        <v>46</v>
      </c>
      <c r="D13" s="35">
        <v>3</v>
      </c>
      <c r="E13" s="420">
        <v>43</v>
      </c>
      <c r="F13" s="131">
        <v>10</v>
      </c>
      <c r="G13" s="420">
        <v>29</v>
      </c>
      <c r="H13" s="131">
        <v>5</v>
      </c>
      <c r="I13" s="371">
        <v>34</v>
      </c>
      <c r="J13" s="114">
        <v>3</v>
      </c>
      <c r="K13" s="371">
        <v>42</v>
      </c>
      <c r="L13" s="131">
        <v>3</v>
      </c>
      <c r="M13" s="420">
        <v>43</v>
      </c>
      <c r="N13" s="131">
        <v>5</v>
      </c>
      <c r="O13" s="420">
        <v>41</v>
      </c>
      <c r="P13" s="131">
        <v>3</v>
      </c>
      <c r="Q13" s="420">
        <v>51</v>
      </c>
      <c r="R13" s="131">
        <v>4</v>
      </c>
      <c r="S13" s="420">
        <v>64</v>
      </c>
      <c r="T13" s="131">
        <v>2</v>
      </c>
      <c r="U13" s="420">
        <v>64</v>
      </c>
      <c r="V13" s="131">
        <v>5</v>
      </c>
      <c r="W13" s="420">
        <v>56</v>
      </c>
      <c r="X13" s="1156"/>
      <c r="Z13" s="861">
        <f>AVERAGE(W13,S13,Q13,U13,O13)</f>
        <v>55.2</v>
      </c>
      <c r="AA13" s="863">
        <f t="shared" si="0"/>
        <v>3.5</v>
      </c>
    </row>
    <row r="14" spans="1:27" ht="14.25" customHeight="1" x14ac:dyDescent="0.2">
      <c r="B14" s="330" t="s">
        <v>105</v>
      </c>
      <c r="C14" s="21"/>
      <c r="D14" s="28"/>
      <c r="E14" s="136"/>
      <c r="F14" s="355"/>
      <c r="G14" s="136"/>
      <c r="H14" s="355"/>
      <c r="I14" s="118"/>
      <c r="J14" s="208"/>
      <c r="K14" s="130"/>
      <c r="L14" s="355"/>
      <c r="M14" s="323"/>
      <c r="N14" s="355"/>
      <c r="O14" s="323"/>
      <c r="P14" s="355"/>
      <c r="Q14" s="323"/>
      <c r="R14" s="355"/>
      <c r="S14" s="323"/>
      <c r="T14" s="355"/>
      <c r="U14" s="323"/>
      <c r="V14" s="355"/>
      <c r="W14" s="323"/>
      <c r="X14" s="1158"/>
      <c r="Z14" s="861"/>
      <c r="AA14" s="863"/>
    </row>
    <row r="15" spans="1:27" x14ac:dyDescent="0.2">
      <c r="B15" s="47" t="s">
        <v>32</v>
      </c>
      <c r="C15" s="14">
        <v>79</v>
      </c>
      <c r="D15" s="28">
        <v>63</v>
      </c>
      <c r="E15" s="323">
        <v>55</v>
      </c>
      <c r="F15" s="355">
        <v>45</v>
      </c>
      <c r="G15" s="323">
        <v>54</v>
      </c>
      <c r="H15" s="376">
        <v>65</v>
      </c>
      <c r="I15" s="130">
        <v>89</v>
      </c>
      <c r="J15" s="376">
        <v>48</v>
      </c>
      <c r="K15" s="130">
        <v>80</v>
      </c>
      <c r="L15" s="355">
        <v>52</v>
      </c>
      <c r="M15" s="323">
        <v>93</v>
      </c>
      <c r="N15" s="355">
        <v>73</v>
      </c>
      <c r="O15" s="323">
        <v>77</v>
      </c>
      <c r="P15" s="355">
        <v>65</v>
      </c>
      <c r="Q15" s="323">
        <f>100+1</f>
        <v>101</v>
      </c>
      <c r="R15" s="355">
        <v>76</v>
      </c>
      <c r="S15" s="323">
        <v>109</v>
      </c>
      <c r="T15" s="355">
        <v>61</v>
      </c>
      <c r="U15" s="323">
        <v>121</v>
      </c>
      <c r="V15" s="355">
        <v>80</v>
      </c>
      <c r="W15" s="323">
        <v>137</v>
      </c>
      <c r="X15" s="1158"/>
      <c r="Y15" s="1175"/>
      <c r="Z15" s="861">
        <f t="shared" ref="Z15:AA15" si="1">AVERAGE(W15,S15,Q15,U15,O15)</f>
        <v>109</v>
      </c>
      <c r="AA15" s="863">
        <f t="shared" si="1"/>
        <v>70.5</v>
      </c>
    </row>
    <row r="16" spans="1:27" s="1" customFormat="1" ht="12" x14ac:dyDescent="0.2">
      <c r="B16" s="102" t="s">
        <v>191</v>
      </c>
      <c r="C16" s="1168"/>
      <c r="D16" s="1160"/>
      <c r="E16" s="1169"/>
      <c r="F16" s="1170"/>
      <c r="G16" s="1171"/>
      <c r="H16" s="1170"/>
      <c r="I16" s="1171"/>
      <c r="J16" s="1160"/>
      <c r="K16" s="1167"/>
      <c r="L16" s="1160"/>
      <c r="M16" s="1167"/>
      <c r="N16" s="1160"/>
      <c r="O16" s="1167"/>
      <c r="P16" s="1160"/>
      <c r="Q16" s="1167"/>
      <c r="R16" s="1160"/>
      <c r="S16" s="58">
        <v>2</v>
      </c>
      <c r="T16" s="1191">
        <v>0</v>
      </c>
      <c r="U16" s="12">
        <v>2</v>
      </c>
      <c r="V16" s="1191">
        <v>0</v>
      </c>
      <c r="W16" s="12">
        <v>2</v>
      </c>
      <c r="X16" s="1177"/>
      <c r="Y16" s="1176"/>
      <c r="Z16" s="4"/>
      <c r="AA16" s="5"/>
    </row>
    <row r="17" spans="1:29" s="1" customFormat="1" ht="12" x14ac:dyDescent="0.2">
      <c r="B17" s="102" t="s">
        <v>197</v>
      </c>
      <c r="C17" s="1200"/>
      <c r="D17" s="1201"/>
      <c r="E17" s="1200"/>
      <c r="F17" s="1201"/>
      <c r="G17" s="1202"/>
      <c r="H17" s="1201"/>
      <c r="I17" s="1203"/>
      <c r="J17" s="1201"/>
      <c r="K17" s="1202"/>
      <c r="L17" s="1204"/>
      <c r="M17" s="1202"/>
      <c r="N17" s="1204"/>
      <c r="O17" s="1202"/>
      <c r="P17" s="1204"/>
      <c r="Q17" s="1202"/>
      <c r="R17" s="1204"/>
      <c r="S17" s="1206"/>
      <c r="T17" s="1207"/>
      <c r="U17" s="1">
        <v>1</v>
      </c>
      <c r="V17" s="1210">
        <v>0</v>
      </c>
      <c r="W17" s="1">
        <v>2</v>
      </c>
      <c r="X17" s="1205"/>
      <c r="Y17" s="626"/>
      <c r="Z17" s="4"/>
    </row>
    <row r="18" spans="1:29" ht="13.5" thickBot="1" x14ac:dyDescent="0.25">
      <c r="B18" s="48" t="s">
        <v>6</v>
      </c>
      <c r="C18" s="13">
        <v>30</v>
      </c>
      <c r="D18" s="6">
        <v>5</v>
      </c>
      <c r="E18" s="300">
        <v>29</v>
      </c>
      <c r="F18" s="451">
        <v>4</v>
      </c>
      <c r="G18" s="324">
        <v>39</v>
      </c>
      <c r="H18" s="388">
        <v>3</v>
      </c>
      <c r="I18" s="300">
        <v>38</v>
      </c>
      <c r="J18" s="388">
        <v>3</v>
      </c>
      <c r="K18" s="300">
        <v>32</v>
      </c>
      <c r="L18" s="451">
        <v>6</v>
      </c>
      <c r="M18" s="324">
        <v>31</v>
      </c>
      <c r="N18" s="451">
        <v>3</v>
      </c>
      <c r="O18" s="324">
        <v>35</v>
      </c>
      <c r="P18" s="451">
        <v>5</v>
      </c>
      <c r="Q18" s="324">
        <v>31</v>
      </c>
      <c r="R18" s="451">
        <v>3</v>
      </c>
      <c r="S18" s="324">
        <v>28</v>
      </c>
      <c r="T18" s="451">
        <v>5</v>
      </c>
      <c r="U18" s="324">
        <v>33</v>
      </c>
      <c r="V18" s="451">
        <v>6</v>
      </c>
      <c r="W18" s="324">
        <v>30</v>
      </c>
      <c r="X18" s="1165"/>
      <c r="Z18" s="861">
        <f t="shared" ref="Z18:AA18" si="2">AVERAGE(W18,S18,Q18,U18,O18)</f>
        <v>31.4</v>
      </c>
      <c r="AA18" s="1146">
        <f t="shared" si="2"/>
        <v>4.75</v>
      </c>
    </row>
    <row r="19" spans="1:29" s="1" customFormat="1" ht="13.5" hidden="1" thickTop="1" thickBot="1" x14ac:dyDescent="0.25">
      <c r="B19" s="367" t="s">
        <v>154</v>
      </c>
      <c r="C19" s="101"/>
      <c r="D19" s="100"/>
      <c r="E19" s="27"/>
      <c r="F19" s="125"/>
      <c r="G19" s="323"/>
      <c r="H19" s="251"/>
      <c r="I19" s="130"/>
      <c r="J19" s="251"/>
      <c r="K19" s="130"/>
      <c r="L19" s="125"/>
      <c r="M19" s="323"/>
      <c r="N19" s="919"/>
      <c r="O19" s="323"/>
      <c r="P19" s="919"/>
      <c r="Q19" s="323"/>
      <c r="R19" s="919"/>
      <c r="S19" s="323"/>
      <c r="T19" s="919"/>
      <c r="U19" s="323"/>
      <c r="V19" s="919"/>
      <c r="W19" s="323"/>
      <c r="X19" s="919"/>
      <c r="Z19" s="1019"/>
      <c r="AA19" s="1145"/>
    </row>
    <row r="20" spans="1:29" s="1" customFormat="1" ht="13.5" hidden="1" thickTop="1" thickBot="1" x14ac:dyDescent="0.25">
      <c r="B20" s="48" t="s">
        <v>56</v>
      </c>
      <c r="C20" s="79">
        <v>913</v>
      </c>
      <c r="D20" s="41">
        <v>97</v>
      </c>
      <c r="E20" s="693">
        <v>1018</v>
      </c>
      <c r="F20" s="134">
        <v>79</v>
      </c>
      <c r="G20" s="324">
        <v>1119</v>
      </c>
      <c r="H20" s="391">
        <v>110</v>
      </c>
      <c r="I20" s="300">
        <v>1128</v>
      </c>
      <c r="J20" s="391">
        <v>131</v>
      </c>
      <c r="K20" s="1098"/>
      <c r="L20" s="1099" t="s">
        <v>171</v>
      </c>
      <c r="M20" s="1100"/>
      <c r="N20" s="1101"/>
      <c r="O20" s="1100"/>
      <c r="P20" s="1101"/>
      <c r="Q20" s="1100"/>
      <c r="R20" s="1101"/>
      <c r="S20" s="1100"/>
      <c r="T20" s="1101"/>
      <c r="U20" s="1100"/>
      <c r="V20" s="1101"/>
      <c r="W20" s="1100"/>
      <c r="X20" s="1101"/>
      <c r="Z20" s="839"/>
      <c r="AA20" s="863"/>
    </row>
    <row r="21" spans="1:29" ht="13.5" thickTop="1" x14ac:dyDescent="0.2">
      <c r="B21" s="135" t="s">
        <v>108</v>
      </c>
      <c r="C21" s="37"/>
      <c r="D21" s="38"/>
      <c r="E21" s="138"/>
      <c r="F21" s="137"/>
      <c r="G21" s="138"/>
      <c r="H21" s="137"/>
      <c r="I21" s="138"/>
      <c r="J21" s="137"/>
      <c r="K21" s="138"/>
      <c r="L21" s="137"/>
      <c r="M21" s="138"/>
      <c r="N21" s="137"/>
      <c r="O21" s="138"/>
      <c r="P21" s="137"/>
      <c r="Q21" s="138"/>
      <c r="R21" s="137"/>
      <c r="S21" s="138"/>
      <c r="T21" s="137"/>
      <c r="U21" s="138"/>
      <c r="V21" s="137"/>
      <c r="W21" s="138"/>
      <c r="X21" s="137"/>
      <c r="Z21" s="771"/>
      <c r="AA21" s="771"/>
    </row>
    <row r="22" spans="1:29" ht="13.5" thickBot="1" x14ac:dyDescent="0.25">
      <c r="C22" s="37"/>
      <c r="D22" s="38"/>
      <c r="E22" s="138"/>
      <c r="F22" s="137"/>
      <c r="G22" s="138"/>
      <c r="H22" s="137"/>
      <c r="I22" s="138"/>
      <c r="J22" s="137"/>
      <c r="K22" s="138"/>
      <c r="L22" s="137"/>
      <c r="M22" s="833"/>
      <c r="N22" s="834"/>
      <c r="O22" s="833"/>
      <c r="P22" s="834"/>
      <c r="Q22" s="833"/>
      <c r="R22" s="834"/>
      <c r="S22" s="833"/>
      <c r="T22" s="834"/>
      <c r="U22" s="833"/>
      <c r="V22" s="834"/>
      <c r="W22" s="833"/>
      <c r="X22" s="834"/>
      <c r="Z22" s="680"/>
      <c r="AA22" s="772"/>
    </row>
    <row r="23" spans="1:29" ht="14.25" thickTop="1" thickBot="1" x14ac:dyDescent="0.25">
      <c r="B23" s="270"/>
      <c r="C23" s="1227" t="s">
        <v>29</v>
      </c>
      <c r="D23" s="1227"/>
      <c r="E23" s="1231" t="s">
        <v>89</v>
      </c>
      <c r="F23" s="1221"/>
      <c r="G23" s="1231" t="s">
        <v>99</v>
      </c>
      <c r="H23" s="1220"/>
      <c r="I23" s="1231" t="s">
        <v>101</v>
      </c>
      <c r="J23" s="1220"/>
      <c r="K23" s="1231" t="s">
        <v>106</v>
      </c>
      <c r="L23" s="1220"/>
      <c r="M23" s="1300" t="s">
        <v>155</v>
      </c>
      <c r="N23" s="1301"/>
      <c r="O23" s="1302" t="s">
        <v>160</v>
      </c>
      <c r="P23" s="1301"/>
      <c r="Q23" s="1302" t="s">
        <v>179</v>
      </c>
      <c r="R23" s="1301"/>
      <c r="S23" s="1302" t="s">
        <v>189</v>
      </c>
      <c r="T23" s="1301"/>
      <c r="U23" s="1302" t="s">
        <v>194</v>
      </c>
      <c r="V23" s="1301"/>
      <c r="W23" s="1302" t="s">
        <v>198</v>
      </c>
      <c r="X23" s="1301"/>
      <c r="Z23" s="1298" t="s">
        <v>142</v>
      </c>
      <c r="AA23" s="1299"/>
    </row>
    <row r="24" spans="1:29" x14ac:dyDescent="0.2">
      <c r="B24" s="45" t="s">
        <v>7</v>
      </c>
      <c r="C24" s="21"/>
      <c r="D24" s="21"/>
      <c r="E24" s="229"/>
      <c r="F24" s="339"/>
      <c r="G24" s="231"/>
      <c r="H24" s="207"/>
      <c r="I24" s="229"/>
      <c r="J24" s="207"/>
      <c r="K24" s="229"/>
      <c r="L24" s="207"/>
      <c r="M24" s="229"/>
      <c r="N24" s="339"/>
      <c r="O24" s="207"/>
      <c r="P24" s="339"/>
      <c r="Q24" s="207"/>
      <c r="R24" s="339"/>
      <c r="S24" s="207"/>
      <c r="T24" s="339"/>
      <c r="U24" s="207"/>
      <c r="V24" s="339"/>
      <c r="W24" s="207"/>
      <c r="X24" s="339"/>
      <c r="Z24" s="670"/>
      <c r="AA24" s="671"/>
    </row>
    <row r="25" spans="1:29" x14ac:dyDescent="0.2">
      <c r="B25" s="50" t="s">
        <v>8</v>
      </c>
      <c r="C25" s="20"/>
      <c r="D25" s="116"/>
      <c r="E25" s="228"/>
      <c r="F25" s="340"/>
      <c r="G25" s="228"/>
      <c r="H25" s="340"/>
      <c r="I25" s="208"/>
      <c r="J25" s="313"/>
      <c r="K25" s="228"/>
      <c r="L25" s="313"/>
      <c r="M25" s="228"/>
      <c r="N25" s="340"/>
      <c r="O25" s="208"/>
      <c r="P25" s="340"/>
      <c r="Q25" s="208"/>
      <c r="R25" s="340"/>
      <c r="S25" s="208"/>
      <c r="T25" s="340"/>
      <c r="U25" s="208"/>
      <c r="V25" s="340"/>
      <c r="W25" s="208"/>
      <c r="X25" s="340"/>
      <c r="Z25" s="850"/>
      <c r="AA25" s="660"/>
    </row>
    <row r="26" spans="1:29" x14ac:dyDescent="0.2">
      <c r="B26" s="50" t="s">
        <v>9</v>
      </c>
      <c r="C26" s="20"/>
      <c r="D26" s="237">
        <v>1567</v>
      </c>
      <c r="E26" s="116"/>
      <c r="F26" s="237">
        <f>1365+268</f>
        <v>1633</v>
      </c>
      <c r="G26" s="313"/>
      <c r="H26" s="340"/>
      <c r="I26" s="313"/>
      <c r="J26" s="1147"/>
      <c r="K26" s="1148"/>
      <c r="L26" s="1147"/>
      <c r="M26" s="1148"/>
      <c r="N26" s="1149"/>
      <c r="O26" s="313"/>
      <c r="P26" s="340"/>
      <c r="Q26" s="313"/>
      <c r="R26" s="340"/>
      <c r="S26" s="313"/>
      <c r="T26" s="340"/>
      <c r="U26" s="313"/>
      <c r="V26" s="340"/>
      <c r="W26" s="313"/>
      <c r="X26" s="340"/>
      <c r="Z26" s="850"/>
      <c r="AA26" s="661"/>
    </row>
    <row r="27" spans="1:29" x14ac:dyDescent="0.2">
      <c r="B27" s="50" t="s">
        <v>10</v>
      </c>
      <c r="C27" s="20"/>
      <c r="D27" s="237">
        <v>1313</v>
      </c>
      <c r="E27" s="116"/>
      <c r="F27" s="237">
        <f>693+822</f>
        <v>1515</v>
      </c>
      <c r="G27" s="313"/>
      <c r="H27" s="340"/>
      <c r="I27" s="313"/>
      <c r="J27" s="1147"/>
      <c r="K27" s="1148"/>
      <c r="L27" s="1147"/>
      <c r="M27" s="1148"/>
      <c r="N27" s="1149"/>
      <c r="O27" s="313"/>
      <c r="P27" s="340"/>
      <c r="Q27" s="313"/>
      <c r="R27" s="340"/>
      <c r="S27" s="313"/>
      <c r="T27" s="340"/>
      <c r="U27" s="313"/>
      <c r="V27" s="340"/>
      <c r="W27" s="313"/>
      <c r="X27" s="340"/>
      <c r="Z27" s="850"/>
      <c r="AA27" s="661"/>
    </row>
    <row r="28" spans="1:29" x14ac:dyDescent="0.2">
      <c r="B28" s="50" t="s">
        <v>11</v>
      </c>
      <c r="C28" s="20"/>
      <c r="D28" s="340">
        <v>2561</v>
      </c>
      <c r="E28" s="116"/>
      <c r="F28" s="237">
        <v>2220</v>
      </c>
      <c r="G28" s="116"/>
      <c r="H28" s="237">
        <v>2741</v>
      </c>
      <c r="I28" s="116"/>
      <c r="J28" s="116">
        <v>2359</v>
      </c>
      <c r="K28" s="188"/>
      <c r="L28" s="313">
        <v>2210</v>
      </c>
      <c r="M28" s="188"/>
      <c r="N28" s="340">
        <f>499+1708</f>
        <v>2207</v>
      </c>
      <c r="O28" s="313"/>
      <c r="P28" s="340">
        <v>1996</v>
      </c>
      <c r="Q28" s="313"/>
      <c r="R28" s="340">
        <v>2390</v>
      </c>
      <c r="S28" s="313"/>
      <c r="T28" s="340">
        <v>2543</v>
      </c>
      <c r="U28" s="313"/>
      <c r="V28" s="340">
        <v>2918</v>
      </c>
      <c r="W28" s="313"/>
      <c r="X28" s="1186"/>
      <c r="Z28" s="668"/>
      <c r="AA28" s="661">
        <f t="shared" ref="AA28:AA30" si="3">AVERAGE(X28,T28,R28,V28,P28)</f>
        <v>2461.75</v>
      </c>
    </row>
    <row r="29" spans="1:29" x14ac:dyDescent="0.2">
      <c r="B29" s="50" t="s">
        <v>12</v>
      </c>
      <c r="C29" s="20"/>
      <c r="D29" s="340">
        <v>531</v>
      </c>
      <c r="E29" s="116"/>
      <c r="F29" s="237">
        <v>551</v>
      </c>
      <c r="G29" s="116"/>
      <c r="H29" s="237">
        <v>469</v>
      </c>
      <c r="I29" s="116"/>
      <c r="J29" s="116">
        <v>607</v>
      </c>
      <c r="K29" s="188"/>
      <c r="L29" s="313">
        <v>521</v>
      </c>
      <c r="M29" s="188"/>
      <c r="N29" s="340">
        <f>319+232</f>
        <v>551</v>
      </c>
      <c r="O29" s="313"/>
      <c r="P29" s="340">
        <v>755</v>
      </c>
      <c r="Q29" s="313"/>
      <c r="R29" s="340">
        <v>1024</v>
      </c>
      <c r="S29" s="313"/>
      <c r="T29" s="340">
        <v>847</v>
      </c>
      <c r="U29" s="313"/>
      <c r="V29" s="340">
        <v>925</v>
      </c>
      <c r="W29" s="313"/>
      <c r="X29" s="1186"/>
      <c r="Z29" s="668"/>
      <c r="AA29" s="661">
        <f t="shared" si="3"/>
        <v>887.75</v>
      </c>
    </row>
    <row r="30" spans="1:29" ht="13.5" thickBot="1" x14ac:dyDescent="0.25">
      <c r="B30" s="51" t="s">
        <v>13</v>
      </c>
      <c r="C30" s="30"/>
      <c r="D30" s="54">
        <f>SUM(D26:D29)</f>
        <v>5972</v>
      </c>
      <c r="E30" s="256"/>
      <c r="F30" s="351">
        <f>SUM(F26:F29)</f>
        <v>5919</v>
      </c>
      <c r="G30" s="361"/>
      <c r="H30" s="389">
        <f>SUM(H26:H29)</f>
        <v>3210</v>
      </c>
      <c r="I30" s="256"/>
      <c r="J30" s="389">
        <f>SUM(J26:J29)</f>
        <v>2966</v>
      </c>
      <c r="K30" s="256"/>
      <c r="L30" s="389">
        <f>SUM(L26:L29)</f>
        <v>2731</v>
      </c>
      <c r="M30" s="256"/>
      <c r="N30" s="351">
        <f>SUM(N26:N29)</f>
        <v>2758</v>
      </c>
      <c r="O30" s="361"/>
      <c r="P30" s="351">
        <f>SUM(P26:P29)</f>
        <v>2751</v>
      </c>
      <c r="Q30" s="361"/>
      <c r="R30" s="351">
        <f>SUM(R26:R29)</f>
        <v>3414</v>
      </c>
      <c r="S30" s="361"/>
      <c r="T30" s="351">
        <f>SUM(T26:T29)</f>
        <v>3390</v>
      </c>
      <c r="U30" s="361"/>
      <c r="V30" s="351">
        <f>SUM(V26:V29)</f>
        <v>3843</v>
      </c>
      <c r="W30" s="361"/>
      <c r="X30" s="1188">
        <f>SUM(X26:X29)</f>
        <v>0</v>
      </c>
      <c r="Z30" s="681"/>
      <c r="AA30" s="654">
        <f t="shared" si="3"/>
        <v>2679.6</v>
      </c>
    </row>
    <row r="31" spans="1:29" ht="14.25" thickTop="1" thickBot="1" x14ac:dyDescent="0.25">
      <c r="A31" s="430"/>
      <c r="B31" s="649" t="s">
        <v>138</v>
      </c>
      <c r="C31" s="1228" t="s">
        <v>31</v>
      </c>
      <c r="D31" s="1229"/>
      <c r="E31" s="1249" t="s">
        <v>110</v>
      </c>
      <c r="F31" s="1222"/>
      <c r="G31" s="1249" t="s">
        <v>111</v>
      </c>
      <c r="H31" s="1252"/>
      <c r="I31" s="1249" t="s">
        <v>128</v>
      </c>
      <c r="J31" s="1252"/>
      <c r="K31" s="1254" t="s">
        <v>129</v>
      </c>
      <c r="L31" s="1307"/>
      <c r="M31" s="1254" t="s">
        <v>156</v>
      </c>
      <c r="N31" s="1222"/>
      <c r="O31" s="1218" t="s">
        <v>161</v>
      </c>
      <c r="P31" s="1222"/>
      <c r="Q31" s="1218" t="s">
        <v>180</v>
      </c>
      <c r="R31" s="1222"/>
      <c r="S31" s="1218" t="s">
        <v>190</v>
      </c>
      <c r="T31" s="1222"/>
      <c r="U31" s="1218" t="s">
        <v>195</v>
      </c>
      <c r="V31" s="1222"/>
      <c r="W31" s="1218" t="s">
        <v>199</v>
      </c>
      <c r="X31" s="1222"/>
      <c r="Y31" s="625"/>
      <c r="Z31" s="1303" t="s">
        <v>142</v>
      </c>
      <c r="AA31" s="1304"/>
      <c r="AB31" s="397"/>
      <c r="AC31" s="432"/>
    </row>
    <row r="32" spans="1:29" x14ac:dyDescent="0.2">
      <c r="A32" s="430"/>
      <c r="B32" s="566" t="s">
        <v>115</v>
      </c>
      <c r="C32" s="1310">
        <v>0</v>
      </c>
      <c r="D32" s="1311"/>
      <c r="E32" s="1269">
        <v>0</v>
      </c>
      <c r="F32" s="1270"/>
      <c r="G32" s="1269">
        <v>0</v>
      </c>
      <c r="H32" s="1270"/>
      <c r="I32" s="835"/>
      <c r="J32" s="822">
        <v>0</v>
      </c>
      <c r="K32" s="836"/>
      <c r="L32" s="767">
        <v>0</v>
      </c>
      <c r="M32" s="836"/>
      <c r="N32" s="756">
        <v>0</v>
      </c>
      <c r="O32" s="767"/>
      <c r="P32" s="756">
        <v>0</v>
      </c>
      <c r="Q32" s="767"/>
      <c r="R32" s="756">
        <v>0</v>
      </c>
      <c r="S32" s="767"/>
      <c r="T32" s="756">
        <v>0</v>
      </c>
      <c r="U32" s="767"/>
      <c r="V32" s="756">
        <v>0</v>
      </c>
      <c r="W32" s="767"/>
      <c r="X32" s="756">
        <v>0</v>
      </c>
      <c r="Y32" s="769"/>
      <c r="Z32" s="851"/>
      <c r="AA32" s="756">
        <f t="shared" ref="AA32:AA34" si="4">AVERAGE(X32,T32,R32,V32,P32)</f>
        <v>0</v>
      </c>
      <c r="AB32" s="397"/>
      <c r="AC32" s="432"/>
    </row>
    <row r="33" spans="1:29" x14ac:dyDescent="0.2">
      <c r="A33" s="430"/>
      <c r="B33" s="572" t="s">
        <v>116</v>
      </c>
      <c r="C33" s="1308">
        <v>0.17199999999999999</v>
      </c>
      <c r="D33" s="1309"/>
      <c r="E33" s="1272">
        <v>0.21099999999999999</v>
      </c>
      <c r="F33" s="1273"/>
      <c r="G33" s="1272">
        <v>0.56999999999999995</v>
      </c>
      <c r="H33" s="1273"/>
      <c r="I33" s="837"/>
      <c r="J33" s="757">
        <v>0.76300000000000001</v>
      </c>
      <c r="K33" s="837"/>
      <c r="L33" s="768">
        <v>0.754</v>
      </c>
      <c r="M33" s="837"/>
      <c r="N33" s="757">
        <v>0.76100000000000001</v>
      </c>
      <c r="O33" s="768"/>
      <c r="P33" s="757">
        <v>0.73799999999999999</v>
      </c>
      <c r="Q33" s="768"/>
      <c r="R33" s="757">
        <v>0.8</v>
      </c>
      <c r="S33" s="768"/>
      <c r="T33" s="757">
        <v>0.876</v>
      </c>
      <c r="U33" s="768"/>
      <c r="V33" s="757">
        <v>0.83699999999999997</v>
      </c>
      <c r="W33" s="768"/>
      <c r="X33" s="757">
        <v>0.8</v>
      </c>
      <c r="Y33" s="769"/>
      <c r="Z33" s="851"/>
      <c r="AA33" s="864">
        <f t="shared" si="4"/>
        <v>0.81020000000000003</v>
      </c>
      <c r="AB33" s="397"/>
      <c r="AC33" s="432"/>
    </row>
    <row r="34" spans="1:29" ht="13.5" thickBot="1" x14ac:dyDescent="0.25">
      <c r="B34" s="575" t="s">
        <v>117</v>
      </c>
      <c r="C34" s="1238">
        <f>1-C32-C33</f>
        <v>0.82800000000000007</v>
      </c>
      <c r="D34" s="1237"/>
      <c r="E34" s="1238">
        <f>1-E32-E33</f>
        <v>0.78900000000000003</v>
      </c>
      <c r="F34" s="1237"/>
      <c r="G34" s="1280">
        <f>1-G32-G33</f>
        <v>0.43000000000000005</v>
      </c>
      <c r="H34" s="1224"/>
      <c r="I34" s="1280">
        <f>1-J32-J33</f>
        <v>0.23699999999999999</v>
      </c>
      <c r="J34" s="1224"/>
      <c r="K34" s="1280">
        <f>1-L32-L33</f>
        <v>0.246</v>
      </c>
      <c r="L34" s="1223"/>
      <c r="M34" s="1280">
        <f>1-N32-N33</f>
        <v>0.23899999999999999</v>
      </c>
      <c r="N34" s="1224"/>
      <c r="O34" s="1223">
        <f>1-P32-P33</f>
        <v>0.26200000000000001</v>
      </c>
      <c r="P34" s="1224"/>
      <c r="Q34" s="1223">
        <f>1-R32-R33</f>
        <v>0.19999999999999996</v>
      </c>
      <c r="R34" s="1224"/>
      <c r="S34" s="1223">
        <f>1-T32-T33</f>
        <v>0.124</v>
      </c>
      <c r="T34" s="1224"/>
      <c r="U34" s="1223">
        <f>1-V32-V33</f>
        <v>0.16300000000000003</v>
      </c>
      <c r="V34" s="1224"/>
      <c r="W34" s="1223">
        <f>1-X32-X33</f>
        <v>0.19999999999999996</v>
      </c>
      <c r="X34" s="1224"/>
      <c r="Y34" s="896"/>
      <c r="Z34" s="1280">
        <f t="shared" ref="Z34" si="5">AVERAGE(W34,S34,Q34,U34,O34)</f>
        <v>0.1898</v>
      </c>
      <c r="AA34" s="1283" t="e">
        <f t="shared" si="4"/>
        <v>#DIV/0!</v>
      </c>
      <c r="AB34" s="397"/>
      <c r="AC34" s="432"/>
    </row>
    <row r="35" spans="1:29" ht="11.25" customHeight="1" thickTop="1" x14ac:dyDescent="0.2">
      <c r="B35" s="1088"/>
      <c r="C35" s="93"/>
      <c r="D35" s="94"/>
      <c r="E35" s="210"/>
      <c r="F35" s="211"/>
      <c r="G35" s="210"/>
      <c r="H35" s="211"/>
      <c r="I35" s="210"/>
      <c r="J35" s="211"/>
      <c r="K35" s="210"/>
      <c r="L35" s="211"/>
      <c r="M35" s="396"/>
      <c r="N35" s="397"/>
      <c r="O35" s="396"/>
      <c r="P35" s="397"/>
      <c r="Q35" s="396"/>
      <c r="R35" s="397"/>
      <c r="S35" s="396"/>
      <c r="T35" s="397"/>
      <c r="U35" s="396"/>
      <c r="V35" s="397"/>
      <c r="W35" s="396"/>
      <c r="X35" s="397"/>
      <c r="Z35" s="848"/>
      <c r="AA35" s="680"/>
      <c r="AB35" s="105" t="s">
        <v>20</v>
      </c>
    </row>
    <row r="36" spans="1:29" ht="13.5" thickBot="1" x14ac:dyDescent="0.25">
      <c r="A36" s="95" t="s">
        <v>45</v>
      </c>
      <c r="B36" s="82"/>
      <c r="C36" s="22"/>
      <c r="D36" s="22" t="s">
        <v>20</v>
      </c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Z36" s="852"/>
      <c r="AA36" s="680"/>
    </row>
    <row r="37" spans="1:29" ht="14.25" thickTop="1" thickBot="1" x14ac:dyDescent="0.25">
      <c r="B37" s="271" t="s">
        <v>46</v>
      </c>
      <c r="C37" s="1227" t="s">
        <v>29</v>
      </c>
      <c r="D37" s="1227"/>
      <c r="E37" s="1231" t="s">
        <v>89</v>
      </c>
      <c r="F37" s="1221"/>
      <c r="G37" s="1220" t="s">
        <v>186</v>
      </c>
      <c r="H37" s="1220"/>
      <c r="I37" s="1231" t="s">
        <v>187</v>
      </c>
      <c r="J37" s="1220"/>
      <c r="K37" s="1231" t="s">
        <v>106</v>
      </c>
      <c r="L37" s="1221"/>
      <c r="M37" s="1220" t="s">
        <v>155</v>
      </c>
      <c r="N37" s="1221"/>
      <c r="O37" s="1220" t="s">
        <v>160</v>
      </c>
      <c r="P37" s="1221"/>
      <c r="Q37" s="1220" t="s">
        <v>179</v>
      </c>
      <c r="R37" s="1221"/>
      <c r="S37" s="1220" t="s">
        <v>189</v>
      </c>
      <c r="T37" s="1221"/>
      <c r="U37" s="1220" t="s">
        <v>194</v>
      </c>
      <c r="V37" s="1221"/>
      <c r="W37" s="1220" t="s">
        <v>198</v>
      </c>
      <c r="X37" s="1221"/>
      <c r="Z37" s="1298" t="s">
        <v>142</v>
      </c>
      <c r="AA37" s="1299"/>
    </row>
    <row r="38" spans="1:29" x14ac:dyDescent="0.2">
      <c r="A38" s="95"/>
      <c r="B38" s="276" t="s">
        <v>47</v>
      </c>
      <c r="C38" s="20"/>
      <c r="D38" s="20"/>
      <c r="E38" s="228"/>
      <c r="F38" s="360"/>
      <c r="G38" s="207"/>
      <c r="H38" s="207"/>
      <c r="I38" s="229"/>
      <c r="J38" s="207"/>
      <c r="K38" s="229"/>
      <c r="L38" s="339"/>
      <c r="M38" s="207"/>
      <c r="N38" s="339"/>
      <c r="O38" s="207"/>
      <c r="P38" s="339"/>
      <c r="Q38" s="207"/>
      <c r="R38" s="339"/>
      <c r="S38" s="207"/>
      <c r="T38" s="339"/>
      <c r="U38" s="207"/>
      <c r="V38" s="339"/>
      <c r="W38" s="207"/>
      <c r="X38" s="339"/>
      <c r="Z38" s="849"/>
      <c r="AA38" s="671"/>
    </row>
    <row r="39" spans="1:29" x14ac:dyDescent="0.2">
      <c r="A39" s="3"/>
      <c r="B39" s="273" t="s">
        <v>48</v>
      </c>
      <c r="C39" s="21"/>
      <c r="D39" s="257">
        <v>1431683</v>
      </c>
      <c r="E39" s="229"/>
      <c r="F39" s="238">
        <v>1446825</v>
      </c>
      <c r="G39" s="207"/>
      <c r="H39" s="257">
        <v>1730335</v>
      </c>
      <c r="I39" s="229"/>
      <c r="J39" s="257">
        <v>2050992</v>
      </c>
      <c r="K39" s="229"/>
      <c r="L39" s="238">
        <v>1148989</v>
      </c>
      <c r="M39" s="207"/>
      <c r="N39" s="238">
        <v>1057375</v>
      </c>
      <c r="O39" s="207"/>
      <c r="P39" s="238">
        <v>1090576</v>
      </c>
      <c r="Q39" s="207"/>
      <c r="R39" s="238">
        <v>1109901</v>
      </c>
      <c r="S39" s="207"/>
      <c r="T39" s="238">
        <v>1271859</v>
      </c>
      <c r="U39" s="207"/>
      <c r="V39" s="238">
        <v>1313539</v>
      </c>
      <c r="W39" s="207"/>
      <c r="X39" s="238">
        <v>1395008</v>
      </c>
      <c r="Z39" s="850"/>
      <c r="AA39" s="661">
        <f t="shared" ref="AA39:AA42" si="6">AVERAGE(X39,T39,R39,V39,P39)</f>
        <v>1236176.6000000001</v>
      </c>
    </row>
    <row r="40" spans="1:29" x14ac:dyDescent="0.2">
      <c r="A40" s="3"/>
      <c r="B40" s="273" t="s">
        <v>166</v>
      </c>
      <c r="C40" s="21"/>
      <c r="D40" s="257"/>
      <c r="E40" s="229"/>
      <c r="F40" s="937"/>
      <c r="G40" s="207"/>
      <c r="H40" s="257">
        <v>30821</v>
      </c>
      <c r="I40" s="229"/>
      <c r="J40" s="257">
        <v>18459</v>
      </c>
      <c r="K40" s="229"/>
      <c r="L40" s="238">
        <v>0</v>
      </c>
      <c r="M40" s="207"/>
      <c r="N40" s="238">
        <v>0</v>
      </c>
      <c r="O40" s="207"/>
      <c r="P40" s="238">
        <v>0</v>
      </c>
      <c r="Q40" s="207"/>
      <c r="R40" s="238"/>
      <c r="S40" s="207"/>
      <c r="T40" s="238"/>
      <c r="U40" s="207"/>
      <c r="V40" s="238"/>
      <c r="W40" s="207"/>
      <c r="X40" s="238"/>
      <c r="Z40" s="850"/>
      <c r="AA40" s="661">
        <f t="shared" si="6"/>
        <v>0</v>
      </c>
    </row>
    <row r="41" spans="1:29" ht="24" x14ac:dyDescent="0.2">
      <c r="A41" s="3"/>
      <c r="B41" s="274" t="s">
        <v>58</v>
      </c>
      <c r="C41" s="20"/>
      <c r="D41" s="258">
        <v>400132</v>
      </c>
      <c r="E41" s="228"/>
      <c r="F41" s="239">
        <v>397632</v>
      </c>
      <c r="G41" s="208"/>
      <c r="H41" s="258">
        <v>719772</v>
      </c>
      <c r="I41" s="228"/>
      <c r="J41" s="258">
        <v>687058</v>
      </c>
      <c r="K41" s="228"/>
      <c r="L41" s="239">
        <v>395041</v>
      </c>
      <c r="M41" s="208"/>
      <c r="N41" s="239">
        <v>515385</v>
      </c>
      <c r="O41" s="208"/>
      <c r="P41" s="239">
        <v>474337</v>
      </c>
      <c r="Q41" s="208"/>
      <c r="R41" s="239">
        <v>367171</v>
      </c>
      <c r="S41" s="208"/>
      <c r="T41" s="239">
        <v>496151</v>
      </c>
      <c r="U41" s="208"/>
      <c r="V41" s="239">
        <v>292737</v>
      </c>
      <c r="W41" s="208"/>
      <c r="X41" s="239">
        <v>253190</v>
      </c>
      <c r="Z41" s="850"/>
      <c r="AA41" s="661">
        <f t="shared" si="6"/>
        <v>376717.2</v>
      </c>
    </row>
    <row r="42" spans="1:29" x14ac:dyDescent="0.2">
      <c r="A42" s="3"/>
      <c r="B42" s="275" t="s">
        <v>49</v>
      </c>
      <c r="C42" s="96"/>
      <c r="D42" s="160">
        <f>SUM(D39:D41)</f>
        <v>1831815</v>
      </c>
      <c r="E42" s="230"/>
      <c r="F42" s="240">
        <f>SUM(F39:F41)</f>
        <v>1844457</v>
      </c>
      <c r="G42" s="212"/>
      <c r="H42" s="259">
        <f>SUM(H39:H41)</f>
        <v>2480928</v>
      </c>
      <c r="I42" s="230"/>
      <c r="J42" s="259">
        <f>SUM(J39:J41)</f>
        <v>2756509</v>
      </c>
      <c r="K42" s="230"/>
      <c r="L42" s="240">
        <f>SUM(L39:L41)</f>
        <v>1544030</v>
      </c>
      <c r="M42" s="212"/>
      <c r="N42" s="240">
        <f>SUM(N39:N41)</f>
        <v>1572760</v>
      </c>
      <c r="O42" s="212"/>
      <c r="P42" s="240">
        <f>SUM(P39:P41)</f>
        <v>1564913</v>
      </c>
      <c r="Q42" s="212"/>
      <c r="R42" s="240">
        <f>SUM(R39:R41)</f>
        <v>1477072</v>
      </c>
      <c r="S42" s="212"/>
      <c r="T42" s="240">
        <f>SUM(T39:T41)</f>
        <v>1768010</v>
      </c>
      <c r="U42" s="212"/>
      <c r="V42" s="240">
        <f>SUM(V39:V41)</f>
        <v>1606276</v>
      </c>
      <c r="W42" s="212"/>
      <c r="X42" s="240">
        <f>SUM(X39:X41)</f>
        <v>1648198</v>
      </c>
      <c r="Z42" s="668"/>
      <c r="AA42" s="654">
        <f t="shared" si="6"/>
        <v>1612893.8</v>
      </c>
    </row>
    <row r="43" spans="1:29" x14ac:dyDescent="0.2">
      <c r="A43" s="3"/>
      <c r="B43" s="276" t="s">
        <v>50</v>
      </c>
      <c r="C43" s="20"/>
      <c r="D43" s="159"/>
      <c r="E43" s="228"/>
      <c r="F43" s="239"/>
      <c r="G43" s="208"/>
      <c r="H43" s="258"/>
      <c r="I43" s="228"/>
      <c r="J43" s="258"/>
      <c r="K43" s="228"/>
      <c r="L43" s="239"/>
      <c r="M43" s="208"/>
      <c r="N43" s="239"/>
      <c r="O43" s="208"/>
      <c r="P43" s="239"/>
      <c r="Q43" s="208"/>
      <c r="R43" s="239"/>
      <c r="S43" s="208"/>
      <c r="T43" s="239"/>
      <c r="U43" s="208"/>
      <c r="V43" s="239"/>
      <c r="W43" s="208"/>
      <c r="X43" s="239"/>
      <c r="Z43" s="668"/>
      <c r="AA43" s="661"/>
    </row>
    <row r="44" spans="1:29" x14ac:dyDescent="0.2">
      <c r="A44" s="3"/>
      <c r="B44" s="273" t="s">
        <v>48</v>
      </c>
      <c r="C44" s="20"/>
      <c r="D44" s="159"/>
      <c r="E44" s="228"/>
      <c r="F44" s="239"/>
      <c r="G44" s="208"/>
      <c r="H44" s="258"/>
      <c r="I44" s="228"/>
      <c r="J44" s="258"/>
      <c r="K44" s="228"/>
      <c r="L44" s="239"/>
      <c r="M44" s="208"/>
      <c r="N44" s="239"/>
      <c r="O44" s="208"/>
      <c r="P44" s="239"/>
      <c r="Q44" s="208"/>
      <c r="R44" s="239"/>
      <c r="S44" s="208"/>
      <c r="T44" s="239"/>
      <c r="U44" s="208"/>
      <c r="V44" s="239"/>
      <c r="W44" s="208"/>
      <c r="X44" s="239"/>
      <c r="Z44" s="668"/>
      <c r="AA44" s="661"/>
    </row>
    <row r="45" spans="1:29" x14ac:dyDescent="0.2">
      <c r="A45" s="3"/>
      <c r="B45" s="273"/>
      <c r="C45" s="20"/>
      <c r="D45" s="159"/>
      <c r="E45" s="228"/>
      <c r="F45" s="239"/>
      <c r="G45" s="208"/>
      <c r="H45" s="258"/>
      <c r="I45" s="228"/>
      <c r="J45" s="258"/>
      <c r="K45" s="228"/>
      <c r="L45" s="239"/>
      <c r="M45" s="208"/>
      <c r="N45" s="239"/>
      <c r="O45" s="208"/>
      <c r="P45" s="239"/>
      <c r="Q45" s="208"/>
      <c r="R45" s="239"/>
      <c r="S45" s="208"/>
      <c r="T45" s="239"/>
      <c r="U45" s="208"/>
      <c r="V45" s="239"/>
      <c r="W45" s="208"/>
      <c r="X45" s="239"/>
      <c r="Z45" s="668"/>
      <c r="AA45" s="661"/>
    </row>
    <row r="46" spans="1:29" ht="24" x14ac:dyDescent="0.2">
      <c r="A46" s="3"/>
      <c r="B46" s="274" t="s">
        <v>58</v>
      </c>
      <c r="C46" s="20"/>
      <c r="D46" s="159"/>
      <c r="E46" s="228"/>
      <c r="F46" s="239"/>
      <c r="G46" s="208"/>
      <c r="H46" s="258"/>
      <c r="I46" s="228"/>
      <c r="J46" s="258"/>
      <c r="K46" s="228"/>
      <c r="L46" s="239"/>
      <c r="M46" s="208"/>
      <c r="N46" s="239"/>
      <c r="O46" s="208"/>
      <c r="P46" s="239"/>
      <c r="Q46" s="208"/>
      <c r="R46" s="239"/>
      <c r="S46" s="208"/>
      <c r="T46" s="239"/>
      <c r="U46" s="208"/>
      <c r="V46" s="239"/>
      <c r="W46" s="208"/>
      <c r="X46" s="239"/>
      <c r="Z46" s="668"/>
      <c r="AA46" s="661"/>
    </row>
    <row r="47" spans="1:29" x14ac:dyDescent="0.2">
      <c r="A47" s="3"/>
      <c r="B47" s="275" t="s">
        <v>51</v>
      </c>
      <c r="C47" s="96"/>
      <c r="D47" s="160">
        <f>SUM(D44:D46)</f>
        <v>0</v>
      </c>
      <c r="E47" s="230"/>
      <c r="F47" s="240">
        <f>SUM(F44:F46)</f>
        <v>0</v>
      </c>
      <c r="G47" s="212"/>
      <c r="H47" s="259">
        <f>SUM(H44:H46)</f>
        <v>0</v>
      </c>
      <c r="I47" s="230"/>
      <c r="J47" s="259">
        <f>SUM(J44:J46)</f>
        <v>0</v>
      </c>
      <c r="K47" s="230"/>
      <c r="L47" s="240">
        <f>SUM(L44:L46)</f>
        <v>0</v>
      </c>
      <c r="M47" s="212"/>
      <c r="N47" s="240">
        <f>SUM(N44:N46)</f>
        <v>0</v>
      </c>
      <c r="O47" s="212"/>
      <c r="P47" s="240">
        <f>SUM(P44:P46)</f>
        <v>0</v>
      </c>
      <c r="Q47" s="212"/>
      <c r="R47" s="240">
        <f>SUM(R44:R46)</f>
        <v>0</v>
      </c>
      <c r="S47" s="212"/>
      <c r="T47" s="240">
        <f>SUM(T44:T46)</f>
        <v>0</v>
      </c>
      <c r="U47" s="212"/>
      <c r="V47" s="240">
        <f>SUM(V44:V46)</f>
        <v>0</v>
      </c>
      <c r="W47" s="212"/>
      <c r="X47" s="240">
        <f>SUM(X44:X46)</f>
        <v>0</v>
      </c>
      <c r="Z47" s="668"/>
      <c r="AA47" s="661">
        <f t="shared" ref="AA47:AA48" si="7">AVERAGE(X47,T47,R47,V47,P47)</f>
        <v>0</v>
      </c>
    </row>
    <row r="48" spans="1:29" ht="13.5" thickBot="1" x14ac:dyDescent="0.25">
      <c r="A48" s="3"/>
      <c r="B48" s="277" t="s">
        <v>52</v>
      </c>
      <c r="C48" s="20"/>
      <c r="D48" s="160">
        <f>SUM(D42,D47)</f>
        <v>1831815</v>
      </c>
      <c r="E48" s="228"/>
      <c r="F48" s="240">
        <f>SUM(F42,F47)</f>
        <v>1844457</v>
      </c>
      <c r="G48" s="208"/>
      <c r="H48" s="259">
        <f>SUM(H42,H47)</f>
        <v>2480928</v>
      </c>
      <c r="I48" s="228"/>
      <c r="J48" s="259">
        <f>SUM(J42,J47)</f>
        <v>2756509</v>
      </c>
      <c r="K48" s="228"/>
      <c r="L48" s="240">
        <f>SUM(L42,L47)</f>
        <v>1544030</v>
      </c>
      <c r="M48" s="208"/>
      <c r="N48" s="240">
        <f>SUM(N42,N47)</f>
        <v>1572760</v>
      </c>
      <c r="O48" s="208"/>
      <c r="P48" s="240">
        <f>SUM(P42,P47)</f>
        <v>1564913</v>
      </c>
      <c r="Q48" s="208"/>
      <c r="R48" s="240">
        <f>SUM(R42,R47)</f>
        <v>1477072</v>
      </c>
      <c r="S48" s="208"/>
      <c r="T48" s="240">
        <f>SUM(T42,T47)</f>
        <v>1768010</v>
      </c>
      <c r="U48" s="208"/>
      <c r="V48" s="240">
        <f>SUM(V42,V47)</f>
        <v>1606276</v>
      </c>
      <c r="W48" s="208"/>
      <c r="X48" s="240">
        <f>SUM(X42,X47)</f>
        <v>1648198</v>
      </c>
      <c r="Z48" s="682"/>
      <c r="AA48" s="777">
        <f t="shared" si="7"/>
        <v>1612893.8</v>
      </c>
    </row>
    <row r="49" spans="1:27" x14ac:dyDescent="0.2">
      <c r="A49" s="3"/>
      <c r="B49" s="278" t="s">
        <v>173</v>
      </c>
      <c r="C49" s="98"/>
      <c r="D49" s="98"/>
      <c r="E49" s="231"/>
      <c r="F49" s="344"/>
      <c r="G49" s="213"/>
      <c r="H49" s="213"/>
      <c r="I49" s="231"/>
      <c r="J49" s="213"/>
      <c r="K49" s="231"/>
      <c r="L49" s="344"/>
      <c r="M49" s="213"/>
      <c r="N49" s="344"/>
      <c r="O49" s="213"/>
      <c r="P49" s="344"/>
      <c r="Q49" s="213"/>
      <c r="R49" s="344"/>
      <c r="S49" s="213"/>
      <c r="T49" s="344"/>
      <c r="U49" s="213"/>
      <c r="V49" s="344"/>
      <c r="W49" s="213"/>
      <c r="X49" s="344"/>
      <c r="Z49" s="670"/>
      <c r="AA49" s="1025"/>
    </row>
    <row r="50" spans="1:27" x14ac:dyDescent="0.2">
      <c r="A50" s="3"/>
      <c r="B50" s="50" t="s">
        <v>14</v>
      </c>
      <c r="C50" s="31"/>
      <c r="D50" s="462">
        <v>1542515</v>
      </c>
      <c r="E50" s="463"/>
      <c r="F50" s="429">
        <v>1789037</v>
      </c>
      <c r="G50" s="366"/>
      <c r="H50" s="366">
        <v>2129878</v>
      </c>
      <c r="I50" s="232"/>
      <c r="J50" s="314">
        <f>1818639+348+498511</f>
        <v>2317498</v>
      </c>
      <c r="K50" s="232"/>
      <c r="L50" s="801">
        <v>1240607</v>
      </c>
      <c r="M50" s="214"/>
      <c r="N50" s="1076">
        <v>1178009</v>
      </c>
      <c r="O50" s="1074"/>
      <c r="P50" s="1076">
        <v>1108888</v>
      </c>
      <c r="Q50" s="1074"/>
      <c r="R50" s="1076">
        <v>1232747</v>
      </c>
      <c r="S50" s="1074"/>
      <c r="T50" s="1076">
        <v>1563841</v>
      </c>
      <c r="U50" s="1074"/>
      <c r="V50" s="1076">
        <v>1454321.85</v>
      </c>
      <c r="W50" s="1074"/>
      <c r="X50" s="1072"/>
      <c r="Z50" s="668"/>
      <c r="AA50" s="662">
        <f>AVERAGE(N50,T50,R50,V50,P50)</f>
        <v>1307561.3699999999</v>
      </c>
    </row>
    <row r="51" spans="1:27" ht="13.5" thickBot="1" x14ac:dyDescent="0.25">
      <c r="B51" s="279" t="s">
        <v>15</v>
      </c>
      <c r="C51" s="32"/>
      <c r="D51" s="464">
        <v>0</v>
      </c>
      <c r="E51" s="465"/>
      <c r="F51" s="318">
        <v>0</v>
      </c>
      <c r="G51" s="464"/>
      <c r="H51" s="464">
        <v>9373</v>
      </c>
      <c r="I51" s="233"/>
      <c r="J51" s="317">
        <f>110535+5908</f>
        <v>116443</v>
      </c>
      <c r="K51" s="233"/>
      <c r="L51" s="1120">
        <v>0</v>
      </c>
      <c r="M51" s="215"/>
      <c r="N51" s="1077">
        <v>0</v>
      </c>
      <c r="O51" s="1075"/>
      <c r="P51" s="1077">
        <v>0</v>
      </c>
      <c r="Q51" s="1075"/>
      <c r="R51" s="1077">
        <v>0</v>
      </c>
      <c r="S51" s="1075"/>
      <c r="T51" s="1077">
        <v>0</v>
      </c>
      <c r="U51" s="1075"/>
      <c r="V51" s="1077">
        <v>0</v>
      </c>
      <c r="W51" s="1075"/>
      <c r="X51" s="1073"/>
      <c r="Z51" s="682"/>
      <c r="AA51" s="663">
        <f>AVERAGE(N51,T51,R51,V51,P51)</f>
        <v>0</v>
      </c>
    </row>
    <row r="52" spans="1:27" x14ac:dyDescent="0.2">
      <c r="B52" s="49"/>
      <c r="C52" s="161" t="s">
        <v>82</v>
      </c>
      <c r="D52" s="161" t="s">
        <v>88</v>
      </c>
      <c r="E52" s="234" t="s">
        <v>82</v>
      </c>
      <c r="F52" s="345" t="s">
        <v>88</v>
      </c>
      <c r="G52" s="216" t="s">
        <v>82</v>
      </c>
      <c r="H52" s="359" t="s">
        <v>88</v>
      </c>
      <c r="I52" s="234" t="s">
        <v>82</v>
      </c>
      <c r="J52" s="359" t="s">
        <v>88</v>
      </c>
      <c r="K52" s="234" t="s">
        <v>82</v>
      </c>
      <c r="L52" s="345" t="s">
        <v>88</v>
      </c>
      <c r="M52" s="216" t="s">
        <v>82</v>
      </c>
      <c r="N52" s="345" t="s">
        <v>88</v>
      </c>
      <c r="O52" s="216" t="s">
        <v>82</v>
      </c>
      <c r="P52" s="345" t="s">
        <v>88</v>
      </c>
      <c r="Q52" s="216" t="s">
        <v>82</v>
      </c>
      <c r="R52" s="345" t="s">
        <v>88</v>
      </c>
      <c r="S52" s="216" t="s">
        <v>82</v>
      </c>
      <c r="T52" s="345" t="s">
        <v>88</v>
      </c>
      <c r="U52" s="216" t="s">
        <v>82</v>
      </c>
      <c r="V52" s="345" t="s">
        <v>88</v>
      </c>
      <c r="W52" s="216" t="s">
        <v>82</v>
      </c>
      <c r="X52" s="345" t="s">
        <v>88</v>
      </c>
      <c r="Z52" s="670"/>
      <c r="AA52" s="671"/>
    </row>
    <row r="53" spans="1:27" x14ac:dyDescent="0.2">
      <c r="B53" s="52" t="s">
        <v>37</v>
      </c>
      <c r="C53" s="455">
        <v>1</v>
      </c>
      <c r="D53" s="409">
        <v>290329</v>
      </c>
      <c r="E53" s="466">
        <v>1</v>
      </c>
      <c r="F53" s="346">
        <v>0</v>
      </c>
      <c r="G53" s="458">
        <v>3</v>
      </c>
      <c r="H53" s="414">
        <v>21208</v>
      </c>
      <c r="I53" s="466">
        <v>2</v>
      </c>
      <c r="J53" s="427">
        <v>136000</v>
      </c>
      <c r="K53" s="815">
        <v>3</v>
      </c>
      <c r="L53" s="507">
        <v>779782</v>
      </c>
      <c r="M53" s="815">
        <v>1</v>
      </c>
      <c r="N53" s="507">
        <v>168646</v>
      </c>
      <c r="O53" s="815">
        <v>0</v>
      </c>
      <c r="P53" s="507">
        <v>0</v>
      </c>
      <c r="Q53" s="815">
        <v>1</v>
      </c>
      <c r="R53" s="507">
        <v>168369</v>
      </c>
      <c r="S53" s="815">
        <v>0</v>
      </c>
      <c r="T53" s="507">
        <v>0</v>
      </c>
      <c r="U53" s="815">
        <v>2</v>
      </c>
      <c r="V53" s="507">
        <v>62443</v>
      </c>
      <c r="W53" s="759"/>
      <c r="X53" s="897"/>
      <c r="Z53" s="701">
        <f t="shared" ref="Z53:AA53" si="8">AVERAGE(W53,S53,Q53,U53,O53)</f>
        <v>0.75</v>
      </c>
      <c r="AA53" s="662">
        <f t="shared" si="8"/>
        <v>57703</v>
      </c>
    </row>
    <row r="54" spans="1:27" x14ac:dyDescent="0.2">
      <c r="B54" s="52"/>
      <c r="C54" s="456"/>
      <c r="D54" s="152"/>
      <c r="E54" s="467"/>
      <c r="F54" s="347"/>
      <c r="G54" s="459"/>
      <c r="H54" s="416"/>
      <c r="I54" s="505"/>
      <c r="J54" s="417"/>
      <c r="K54" s="468"/>
      <c r="L54" s="508"/>
      <c r="M54" s="468"/>
      <c r="N54" s="508"/>
      <c r="O54" s="468"/>
      <c r="P54" s="508"/>
      <c r="Q54" s="468"/>
      <c r="R54" s="508"/>
      <c r="S54" s="468"/>
      <c r="T54" s="508"/>
      <c r="U54" s="468"/>
      <c r="V54" s="508"/>
      <c r="W54" s="760"/>
      <c r="X54" s="898"/>
      <c r="Z54" s="666"/>
      <c r="AA54" s="660"/>
    </row>
    <row r="55" spans="1:27" ht="13.5" thickBot="1" x14ac:dyDescent="0.25">
      <c r="B55" s="651" t="s">
        <v>16</v>
      </c>
      <c r="C55" s="650">
        <v>0</v>
      </c>
      <c r="D55" s="199">
        <v>0</v>
      </c>
      <c r="E55" s="468">
        <v>1</v>
      </c>
      <c r="F55" s="469">
        <v>20786</v>
      </c>
      <c r="G55" s="470">
        <v>5</v>
      </c>
      <c r="H55" s="417">
        <v>154339</v>
      </c>
      <c r="I55" s="505">
        <v>2</v>
      </c>
      <c r="J55" s="417">
        <v>21823</v>
      </c>
      <c r="K55" s="468">
        <v>2</v>
      </c>
      <c r="L55" s="508">
        <v>198056</v>
      </c>
      <c r="M55" s="468">
        <v>1</v>
      </c>
      <c r="N55" s="508">
        <v>110947</v>
      </c>
      <c r="O55" s="468">
        <v>1</v>
      </c>
      <c r="P55" s="508">
        <v>65885</v>
      </c>
      <c r="Q55" s="468">
        <v>1</v>
      </c>
      <c r="R55" s="508">
        <v>66106</v>
      </c>
      <c r="S55" s="468">
        <v>1</v>
      </c>
      <c r="T55" s="508">
        <v>87771</v>
      </c>
      <c r="U55" s="468">
        <v>1</v>
      </c>
      <c r="V55" s="508">
        <v>19500</v>
      </c>
      <c r="W55" s="760"/>
      <c r="X55" s="1122"/>
      <c r="Z55" s="701">
        <f t="shared" ref="Z55:AA55" si="9">AVERAGE(W55,S55,Q55,U55,O55)</f>
        <v>1</v>
      </c>
      <c r="AA55" s="662">
        <f t="shared" si="9"/>
        <v>59815.5</v>
      </c>
    </row>
    <row r="56" spans="1:27" x14ac:dyDescent="0.2">
      <c r="B56" s="278" t="s">
        <v>59</v>
      </c>
      <c r="C56" s="104"/>
      <c r="D56" s="260"/>
      <c r="E56" s="261"/>
      <c r="F56" s="348"/>
      <c r="G56" s="219"/>
      <c r="H56" s="381"/>
      <c r="I56" s="261"/>
      <c r="J56" s="381"/>
      <c r="K56" s="261"/>
      <c r="L56" s="348"/>
      <c r="M56" s="219"/>
      <c r="N56" s="348"/>
      <c r="O56" s="219"/>
      <c r="P56" s="348"/>
      <c r="Q56" s="219"/>
      <c r="R56" s="348"/>
      <c r="S56" s="219"/>
      <c r="T56" s="348"/>
      <c r="U56" s="219"/>
      <c r="V56" s="348"/>
      <c r="W56" s="219"/>
      <c r="X56" s="348"/>
      <c r="Z56" s="670"/>
      <c r="AA56" s="671"/>
    </row>
    <row r="57" spans="1:27" x14ac:dyDescent="0.2">
      <c r="B57" s="277" t="s">
        <v>60</v>
      </c>
      <c r="C57" s="91"/>
      <c r="D57" s="298"/>
      <c r="E57" s="235"/>
      <c r="F57" s="431"/>
      <c r="G57" s="218"/>
      <c r="H57" s="390"/>
      <c r="I57" s="235"/>
      <c r="J57" s="390"/>
      <c r="K57" s="235"/>
      <c r="L57" s="431"/>
      <c r="M57" s="218"/>
      <c r="N57" s="431"/>
      <c r="O57" s="218"/>
      <c r="P57" s="431"/>
      <c r="Q57" s="218"/>
      <c r="R57" s="431"/>
      <c r="S57" s="218"/>
      <c r="T57" s="431"/>
      <c r="U57" s="218"/>
      <c r="V57" s="431"/>
      <c r="W57" s="218"/>
      <c r="X57" s="431"/>
      <c r="Z57" s="668"/>
      <c r="AA57" s="660"/>
    </row>
    <row r="58" spans="1:27" x14ac:dyDescent="0.2">
      <c r="B58" s="486" t="s">
        <v>61</v>
      </c>
      <c r="C58" s="33"/>
      <c r="D58" s="165">
        <v>0</v>
      </c>
      <c r="E58" s="263"/>
      <c r="F58" s="828">
        <v>5500</v>
      </c>
      <c r="G58" s="364"/>
      <c r="H58" s="450">
        <f>7700+1140</f>
        <v>8840</v>
      </c>
      <c r="I58" s="398"/>
      <c r="J58" s="829">
        <f>6000+1170</f>
        <v>7170</v>
      </c>
      <c r="K58" s="398"/>
      <c r="L58" s="828">
        <v>9215</v>
      </c>
      <c r="M58" s="443"/>
      <c r="N58" s="828">
        <f>7600+325</f>
        <v>7925</v>
      </c>
      <c r="O58" s="443"/>
      <c r="P58" s="828">
        <f>2100+340</f>
        <v>2440</v>
      </c>
      <c r="Q58" s="443"/>
      <c r="R58" s="448">
        <v>605</v>
      </c>
      <c r="S58" s="443"/>
      <c r="T58" s="448">
        <v>0</v>
      </c>
      <c r="U58" s="443"/>
      <c r="V58" s="448">
        <v>0</v>
      </c>
      <c r="W58" s="443"/>
      <c r="X58" s="996"/>
      <c r="Z58" s="668"/>
      <c r="AA58" s="662">
        <f t="shared" ref="AA58:AA59" si="10">AVERAGE(N58,T58,R58,V58,P58)</f>
        <v>2194</v>
      </c>
    </row>
    <row r="59" spans="1:27" ht="13.5" thickBot="1" x14ac:dyDescent="0.25">
      <c r="B59" s="487" t="s">
        <v>62</v>
      </c>
      <c r="C59" s="34"/>
      <c r="D59" s="306">
        <v>0</v>
      </c>
      <c r="E59" s="264"/>
      <c r="F59" s="449">
        <v>0</v>
      </c>
      <c r="G59" s="445"/>
      <c r="H59" s="446">
        <v>0</v>
      </c>
      <c r="I59" s="447"/>
      <c r="J59" s="446">
        <v>0</v>
      </c>
      <c r="K59" s="447"/>
      <c r="L59" s="446">
        <v>0</v>
      </c>
      <c r="M59" s="447"/>
      <c r="N59" s="449">
        <v>0</v>
      </c>
      <c r="O59" s="445"/>
      <c r="P59" s="449">
        <v>0</v>
      </c>
      <c r="Q59" s="445"/>
      <c r="R59" s="449">
        <v>0</v>
      </c>
      <c r="S59" s="445"/>
      <c r="T59" s="449">
        <v>0</v>
      </c>
      <c r="U59" s="445"/>
      <c r="V59" s="449">
        <v>0</v>
      </c>
      <c r="W59" s="445"/>
      <c r="X59" s="955"/>
      <c r="Z59" s="669"/>
      <c r="AA59" s="664">
        <f t="shared" si="10"/>
        <v>0</v>
      </c>
    </row>
    <row r="60" spans="1:27" ht="14.25" customHeight="1" thickTop="1" x14ac:dyDescent="0.2">
      <c r="B60" s="1150" t="s">
        <v>182</v>
      </c>
      <c r="C60" s="83"/>
      <c r="D60" s="85"/>
      <c r="E60" s="220"/>
      <c r="F60" s="216"/>
      <c r="G60" s="220"/>
      <c r="H60" s="216"/>
      <c r="I60" s="220"/>
      <c r="J60" s="216"/>
      <c r="K60" s="220"/>
      <c r="L60" s="216"/>
      <c r="M60" s="220"/>
      <c r="N60" s="216"/>
      <c r="O60" s="220"/>
      <c r="P60" s="216"/>
      <c r="Q60" s="220"/>
      <c r="R60" s="216"/>
      <c r="S60" s="220"/>
      <c r="T60" s="216"/>
      <c r="U60" s="220"/>
      <c r="V60" s="216"/>
      <c r="W60" s="220"/>
      <c r="X60" s="216"/>
      <c r="Z60" s="680"/>
      <c r="AA60" s="680"/>
    </row>
    <row r="61" spans="1:27" ht="13.5" thickBot="1" x14ac:dyDescent="0.25">
      <c r="A61" s="3" t="s">
        <v>55</v>
      </c>
      <c r="B61" s="82"/>
      <c r="C61" s="83"/>
      <c r="D61" s="85"/>
      <c r="E61" s="220"/>
      <c r="F61" s="216"/>
      <c r="G61" s="220"/>
      <c r="H61" s="216"/>
      <c r="I61" s="220"/>
      <c r="J61" s="216"/>
      <c r="K61" s="220"/>
      <c r="L61" s="216"/>
      <c r="M61" s="220"/>
      <c r="N61" s="216"/>
      <c r="O61" s="220"/>
      <c r="P61" s="216"/>
      <c r="Q61" s="220"/>
      <c r="R61" s="216"/>
      <c r="S61" s="220"/>
      <c r="T61" s="216"/>
      <c r="U61" s="220"/>
      <c r="V61" s="216"/>
      <c r="W61" s="220"/>
      <c r="X61" s="216"/>
      <c r="Z61" s="680"/>
      <c r="AA61" s="680"/>
    </row>
    <row r="62" spans="1:27" ht="14.25" thickTop="1" thickBot="1" x14ac:dyDescent="0.25">
      <c r="A62" s="3"/>
      <c r="B62" s="270"/>
      <c r="C62" s="1227" t="s">
        <v>29</v>
      </c>
      <c r="D62" s="1227"/>
      <c r="E62" s="1231" t="s">
        <v>89</v>
      </c>
      <c r="F62" s="1221"/>
      <c r="G62" s="1231" t="s">
        <v>184</v>
      </c>
      <c r="H62" s="1220"/>
      <c r="I62" s="1231" t="s">
        <v>185</v>
      </c>
      <c r="J62" s="1220"/>
      <c r="K62" s="1231" t="s">
        <v>106</v>
      </c>
      <c r="L62" s="1221"/>
      <c r="M62" s="1220" t="s">
        <v>155</v>
      </c>
      <c r="N62" s="1221"/>
      <c r="O62" s="1220" t="s">
        <v>160</v>
      </c>
      <c r="P62" s="1221"/>
      <c r="Q62" s="1220" t="s">
        <v>179</v>
      </c>
      <c r="R62" s="1221"/>
      <c r="S62" s="1220" t="s">
        <v>189</v>
      </c>
      <c r="T62" s="1221"/>
      <c r="U62" s="1220" t="s">
        <v>194</v>
      </c>
      <c r="V62" s="1221"/>
      <c r="W62" s="1220" t="s">
        <v>198</v>
      </c>
      <c r="X62" s="1221"/>
      <c r="Z62" s="1298" t="s">
        <v>142</v>
      </c>
      <c r="AA62" s="1299"/>
    </row>
    <row r="63" spans="1:27" x14ac:dyDescent="0.2">
      <c r="B63" s="45" t="s">
        <v>33</v>
      </c>
      <c r="C63" s="21"/>
      <c r="D63" s="21"/>
      <c r="E63" s="229"/>
      <c r="F63" s="339"/>
      <c r="G63" s="207"/>
      <c r="H63" s="207"/>
      <c r="I63" s="229"/>
      <c r="J63" s="207"/>
      <c r="K63" s="229"/>
      <c r="L63" s="339"/>
      <c r="M63" s="207"/>
      <c r="N63" s="339"/>
      <c r="O63" s="207"/>
      <c r="P63" s="339"/>
      <c r="Q63" s="207"/>
      <c r="R63" s="339"/>
      <c r="S63" s="207"/>
      <c r="T63" s="339"/>
      <c r="U63" s="207"/>
      <c r="V63" s="339"/>
      <c r="W63" s="207"/>
      <c r="X63" s="339"/>
      <c r="Z63" s="670"/>
      <c r="AA63" s="671"/>
    </row>
    <row r="64" spans="1:27" x14ac:dyDescent="0.2">
      <c r="B64" s="46" t="s">
        <v>34</v>
      </c>
      <c r="C64" s="20"/>
      <c r="D64" s="116"/>
      <c r="E64" s="228"/>
      <c r="F64" s="340"/>
      <c r="G64" s="208"/>
      <c r="H64" s="313"/>
      <c r="I64" s="228"/>
      <c r="J64" s="313"/>
      <c r="K64" s="228"/>
      <c r="L64" s="340"/>
      <c r="M64" s="208"/>
      <c r="N64" s="340"/>
      <c r="O64" s="208"/>
      <c r="P64" s="340"/>
      <c r="Q64" s="208"/>
      <c r="R64" s="340"/>
      <c r="S64" s="208"/>
      <c r="T64" s="340"/>
      <c r="U64" s="208"/>
      <c r="V64" s="340"/>
      <c r="W64" s="208"/>
      <c r="X64" s="340"/>
      <c r="Z64" s="668"/>
      <c r="AA64" s="660"/>
    </row>
    <row r="65" spans="2:27" x14ac:dyDescent="0.2">
      <c r="B65" s="47" t="s">
        <v>35</v>
      </c>
      <c r="C65" s="20"/>
      <c r="D65" s="116">
        <v>13</v>
      </c>
      <c r="E65" s="228"/>
      <c r="F65" s="340">
        <v>14</v>
      </c>
      <c r="G65" s="208"/>
      <c r="H65" s="313">
        <v>15</v>
      </c>
      <c r="I65" s="228"/>
      <c r="J65" s="313">
        <v>17</v>
      </c>
      <c r="K65" s="228"/>
      <c r="L65" s="340">
        <v>10</v>
      </c>
      <c r="M65" s="208"/>
      <c r="N65" s="340">
        <v>10</v>
      </c>
      <c r="O65" s="208"/>
      <c r="P65" s="340">
        <v>9</v>
      </c>
      <c r="Q65" s="208"/>
      <c r="R65" s="340">
        <v>9</v>
      </c>
      <c r="S65" s="208"/>
      <c r="T65" s="340">
        <v>12</v>
      </c>
      <c r="U65" s="208"/>
      <c r="V65" s="340">
        <v>13</v>
      </c>
      <c r="W65" s="208"/>
      <c r="X65" s="340">
        <v>12</v>
      </c>
      <c r="Z65" s="668"/>
      <c r="AA65" s="661">
        <f t="shared" ref="AA65:AA66" si="11">AVERAGE(X65,T65,R65,V65,P65)</f>
        <v>11</v>
      </c>
    </row>
    <row r="66" spans="2:27" x14ac:dyDescent="0.2">
      <c r="B66" s="47" t="s">
        <v>139</v>
      </c>
      <c r="C66" s="20"/>
      <c r="D66" s="116">
        <v>3</v>
      </c>
      <c r="E66" s="228"/>
      <c r="F66" s="340">
        <v>2</v>
      </c>
      <c r="G66" s="208"/>
      <c r="H66" s="313">
        <v>1</v>
      </c>
      <c r="I66" s="228"/>
      <c r="J66" s="313">
        <v>4</v>
      </c>
      <c r="K66" s="228"/>
      <c r="L66" s="340">
        <v>2</v>
      </c>
      <c r="M66" s="208"/>
      <c r="N66" s="340">
        <v>2</v>
      </c>
      <c r="O66" s="208"/>
      <c r="P66" s="340">
        <v>2</v>
      </c>
      <c r="Q66" s="208"/>
      <c r="R66" s="340">
        <v>5</v>
      </c>
      <c r="S66" s="208"/>
      <c r="T66" s="340">
        <v>7</v>
      </c>
      <c r="U66" s="208"/>
      <c r="V66" s="340">
        <v>5</v>
      </c>
      <c r="W66" s="208"/>
      <c r="X66" s="340">
        <v>4</v>
      </c>
      <c r="Z66" s="668"/>
      <c r="AA66" s="661">
        <f t="shared" si="11"/>
        <v>4.5999999999999996</v>
      </c>
    </row>
    <row r="67" spans="2:27" x14ac:dyDescent="0.2">
      <c r="B67" s="46" t="s">
        <v>36</v>
      </c>
      <c r="C67" s="20"/>
      <c r="D67" s="53"/>
      <c r="E67" s="228"/>
      <c r="F67" s="341"/>
      <c r="G67" s="208"/>
      <c r="H67" s="384"/>
      <c r="I67" s="228"/>
      <c r="J67" s="384"/>
      <c r="K67" s="228"/>
      <c r="L67" s="341"/>
      <c r="M67" s="208"/>
      <c r="N67" s="341"/>
      <c r="O67" s="208"/>
      <c r="P67" s="341"/>
      <c r="Q67" s="208"/>
      <c r="R67" s="341"/>
      <c r="S67" s="208"/>
      <c r="T67" s="340"/>
      <c r="U67" s="208"/>
      <c r="V67" s="340"/>
      <c r="W67" s="208"/>
      <c r="X67" s="340"/>
      <c r="Z67" s="668"/>
      <c r="AA67" s="661"/>
    </row>
    <row r="68" spans="2:27" x14ac:dyDescent="0.2">
      <c r="B68" s="47" t="s">
        <v>35</v>
      </c>
      <c r="C68" s="20"/>
      <c r="D68" s="53">
        <v>1</v>
      </c>
      <c r="E68" s="228"/>
      <c r="F68" s="341">
        <v>1</v>
      </c>
      <c r="G68" s="208"/>
      <c r="H68" s="384">
        <v>1</v>
      </c>
      <c r="I68" s="228"/>
      <c r="J68" s="384">
        <v>1</v>
      </c>
      <c r="K68" s="228"/>
      <c r="L68" s="341">
        <v>1</v>
      </c>
      <c r="M68" s="208"/>
      <c r="N68" s="341">
        <v>1</v>
      </c>
      <c r="O68" s="208"/>
      <c r="P68" s="341">
        <v>1</v>
      </c>
      <c r="Q68" s="208"/>
      <c r="R68" s="341">
        <v>1</v>
      </c>
      <c r="S68" s="208"/>
      <c r="T68" s="341">
        <v>1</v>
      </c>
      <c r="U68" s="208"/>
      <c r="V68" s="341">
        <v>0</v>
      </c>
      <c r="W68" s="208"/>
      <c r="X68" s="341">
        <v>0</v>
      </c>
      <c r="Z68" s="668"/>
      <c r="AA68" s="661">
        <f t="shared" ref="AA68:AA70" si="12">AVERAGE(X68,T68,R68,V68,P68)</f>
        <v>0.6</v>
      </c>
    </row>
    <row r="69" spans="2:27" x14ac:dyDescent="0.2">
      <c r="B69" s="283" t="s">
        <v>139</v>
      </c>
      <c r="C69" s="20"/>
      <c r="D69" s="53">
        <v>1</v>
      </c>
      <c r="E69" s="228"/>
      <c r="F69" s="341">
        <v>0</v>
      </c>
      <c r="G69" s="208"/>
      <c r="H69" s="384">
        <v>1</v>
      </c>
      <c r="I69" s="228"/>
      <c r="J69" s="384">
        <v>1</v>
      </c>
      <c r="K69" s="228"/>
      <c r="L69" s="341">
        <v>1</v>
      </c>
      <c r="M69" s="208"/>
      <c r="N69" s="341">
        <v>0</v>
      </c>
      <c r="O69" s="208"/>
      <c r="P69" s="341">
        <v>0</v>
      </c>
      <c r="Q69" s="208"/>
      <c r="R69" s="341">
        <v>0</v>
      </c>
      <c r="S69" s="208"/>
      <c r="T69" s="341">
        <v>0</v>
      </c>
      <c r="U69" s="208"/>
      <c r="V69" s="341">
        <v>0</v>
      </c>
      <c r="W69" s="208"/>
      <c r="X69" s="341">
        <v>0</v>
      </c>
      <c r="Z69" s="668"/>
      <c r="AA69" s="661">
        <f t="shared" si="12"/>
        <v>0</v>
      </c>
    </row>
    <row r="70" spans="2:27" ht="13.5" thickBot="1" x14ac:dyDescent="0.25">
      <c r="B70" s="51" t="s">
        <v>13</v>
      </c>
      <c r="C70" s="89"/>
      <c r="D70" s="307">
        <f>SUM(D65:D69)</f>
        <v>18</v>
      </c>
      <c r="E70" s="301"/>
      <c r="F70" s="342">
        <v>17</v>
      </c>
      <c r="G70" s="223"/>
      <c r="H70" s="307">
        <f>SUM(H65:H69)</f>
        <v>18</v>
      </c>
      <c r="I70" s="301"/>
      <c r="J70" s="307">
        <f>SUM(J65:J69)</f>
        <v>23</v>
      </c>
      <c r="K70" s="301"/>
      <c r="L70" s="342">
        <f>SUM(L65:L69)</f>
        <v>14</v>
      </c>
      <c r="M70" s="223"/>
      <c r="N70" s="342">
        <f>SUM(N65:N69)</f>
        <v>13</v>
      </c>
      <c r="O70" s="223"/>
      <c r="P70" s="342">
        <f>SUM(P65:P69)</f>
        <v>12</v>
      </c>
      <c r="Q70" s="223"/>
      <c r="R70" s="342">
        <f>SUM(R65:R69)</f>
        <v>15</v>
      </c>
      <c r="S70" s="223"/>
      <c r="T70" s="342">
        <f>SUM(T65:T69)</f>
        <v>20</v>
      </c>
      <c r="U70" s="223"/>
      <c r="V70" s="342">
        <f>SUM(V65:V69)</f>
        <v>18</v>
      </c>
      <c r="W70" s="223"/>
      <c r="X70" s="342">
        <f>SUM(X65:X69)</f>
        <v>16</v>
      </c>
      <c r="Z70" s="669"/>
      <c r="AA70" s="690">
        <f t="shared" si="12"/>
        <v>16.2</v>
      </c>
    </row>
    <row r="71" spans="2:27" ht="13.5" thickTop="1" x14ac:dyDescent="0.2">
      <c r="B71" s="524" t="s">
        <v>84</v>
      </c>
      <c r="C71" s="113" t="s">
        <v>82</v>
      </c>
      <c r="D71" s="167" t="s">
        <v>83</v>
      </c>
      <c r="E71" s="1017" t="s">
        <v>82</v>
      </c>
      <c r="F71" s="167" t="s">
        <v>83</v>
      </c>
      <c r="G71" s="1017" t="s">
        <v>82</v>
      </c>
      <c r="H71" s="1018" t="s">
        <v>83</v>
      </c>
      <c r="I71" s="113" t="s">
        <v>82</v>
      </c>
      <c r="J71" s="167" t="s">
        <v>83</v>
      </c>
      <c r="K71" s="1017" t="s">
        <v>82</v>
      </c>
      <c r="L71" s="1018" t="s">
        <v>83</v>
      </c>
      <c r="M71" s="113" t="s">
        <v>82</v>
      </c>
      <c r="N71" s="167" t="s">
        <v>83</v>
      </c>
      <c r="O71" s="489" t="s">
        <v>82</v>
      </c>
      <c r="P71" s="343" t="s">
        <v>83</v>
      </c>
      <c r="Q71" s="489" t="s">
        <v>82</v>
      </c>
      <c r="R71" s="343" t="s">
        <v>83</v>
      </c>
      <c r="S71" s="489" t="s">
        <v>82</v>
      </c>
      <c r="T71" s="343" t="s">
        <v>83</v>
      </c>
      <c r="U71" s="489" t="s">
        <v>82</v>
      </c>
      <c r="V71" s="343" t="s">
        <v>83</v>
      </c>
      <c r="W71" s="489" t="s">
        <v>82</v>
      </c>
      <c r="X71" s="343" t="s">
        <v>83</v>
      </c>
      <c r="Z71" s="1087" t="s">
        <v>82</v>
      </c>
      <c r="AA71" s="858" t="s">
        <v>83</v>
      </c>
    </row>
    <row r="72" spans="2:27" x14ac:dyDescent="0.2">
      <c r="B72" s="47" t="s">
        <v>66</v>
      </c>
      <c r="C72" s="114">
        <v>16</v>
      </c>
      <c r="D72" s="179">
        <f t="shared" ref="D72:F79" si="13">C72/D$70</f>
        <v>0.88888888888888884</v>
      </c>
      <c r="E72" s="172">
        <v>15</v>
      </c>
      <c r="F72" s="190">
        <f t="shared" si="13"/>
        <v>0.88235294117647056</v>
      </c>
      <c r="G72" s="114">
        <v>15</v>
      </c>
      <c r="H72" s="179">
        <f t="shared" ref="H72:J79" si="14">G72/H$70</f>
        <v>0.83333333333333337</v>
      </c>
      <c r="I72" s="172">
        <v>18</v>
      </c>
      <c r="J72" s="179">
        <f t="shared" si="14"/>
        <v>0.78260869565217395</v>
      </c>
      <c r="K72" s="172">
        <v>13</v>
      </c>
      <c r="L72" s="190">
        <f t="shared" ref="L72:P79" si="15">K72/L$70</f>
        <v>0.9285714285714286</v>
      </c>
      <c r="M72" s="114">
        <v>12</v>
      </c>
      <c r="N72" s="190">
        <f>M72/N$70</f>
        <v>0.92307692307692313</v>
      </c>
      <c r="O72" s="114">
        <v>11</v>
      </c>
      <c r="P72" s="190">
        <f>O72/P$70</f>
        <v>0.91666666666666663</v>
      </c>
      <c r="Q72" s="114">
        <f>8+5</f>
        <v>13</v>
      </c>
      <c r="R72" s="190">
        <f t="shared" ref="R72:T79" si="16">Q72/R$70</f>
        <v>0.8666666666666667</v>
      </c>
      <c r="S72" s="114">
        <v>18</v>
      </c>
      <c r="T72" s="190">
        <f t="shared" si="16"/>
        <v>0.9</v>
      </c>
      <c r="U72" s="114">
        <f>5+11</f>
        <v>16</v>
      </c>
      <c r="V72" s="190">
        <f t="shared" ref="V72:V79" si="17">U72/V$70</f>
        <v>0.88888888888888884</v>
      </c>
      <c r="W72" s="114">
        <v>14</v>
      </c>
      <c r="X72" s="190">
        <f t="shared" ref="X72:X79" si="18">W72/X$70</f>
        <v>0.875</v>
      </c>
      <c r="Z72" s="658">
        <f t="shared" ref="Z72:Z79" si="19">AVERAGE(W72,S72,Q72,U72,O72)</f>
        <v>14.4</v>
      </c>
      <c r="AA72" s="673">
        <f t="shared" ref="AA72:AA79" si="20">AVERAGE(X72,T72,R72,V72,P72)</f>
        <v>0.88944444444444437</v>
      </c>
    </row>
    <row r="73" spans="2:27" x14ac:dyDescent="0.2">
      <c r="B73" s="70" t="s">
        <v>67</v>
      </c>
      <c r="C73" s="114">
        <v>1</v>
      </c>
      <c r="D73" s="179">
        <f t="shared" si="13"/>
        <v>5.5555555555555552E-2</v>
      </c>
      <c r="E73" s="172">
        <v>1</v>
      </c>
      <c r="F73" s="190">
        <f t="shared" si="13"/>
        <v>5.8823529411764705E-2</v>
      </c>
      <c r="G73" s="114">
        <v>2</v>
      </c>
      <c r="H73" s="179">
        <f t="shared" si="14"/>
        <v>0.1111111111111111</v>
      </c>
      <c r="I73" s="172">
        <v>2</v>
      </c>
      <c r="J73" s="179">
        <f t="shared" si="14"/>
        <v>8.6956521739130432E-2</v>
      </c>
      <c r="K73" s="172">
        <v>1</v>
      </c>
      <c r="L73" s="190">
        <f t="shared" si="15"/>
        <v>7.1428571428571425E-2</v>
      </c>
      <c r="M73" s="114">
        <v>1</v>
      </c>
      <c r="N73" s="190">
        <f t="shared" si="15"/>
        <v>7.6923076923076927E-2</v>
      </c>
      <c r="O73" s="114">
        <v>1</v>
      </c>
      <c r="P73" s="190">
        <f t="shared" si="15"/>
        <v>8.3333333333333329E-2</v>
      </c>
      <c r="Q73" s="114">
        <f>1</f>
        <v>1</v>
      </c>
      <c r="R73" s="190">
        <f t="shared" si="16"/>
        <v>6.6666666666666666E-2</v>
      </c>
      <c r="S73" s="114">
        <v>1</v>
      </c>
      <c r="T73" s="190">
        <f t="shared" si="16"/>
        <v>0.05</v>
      </c>
      <c r="U73" s="114">
        <v>0</v>
      </c>
      <c r="V73" s="190">
        <f t="shared" si="17"/>
        <v>0</v>
      </c>
      <c r="W73" s="114">
        <v>0</v>
      </c>
      <c r="X73" s="190">
        <f t="shared" si="18"/>
        <v>0</v>
      </c>
      <c r="Z73" s="658">
        <f t="shared" si="19"/>
        <v>0.6</v>
      </c>
      <c r="AA73" s="673">
        <f t="shared" si="20"/>
        <v>0.04</v>
      </c>
    </row>
    <row r="74" spans="2:27" x14ac:dyDescent="0.2">
      <c r="B74" s="70" t="s">
        <v>68</v>
      </c>
      <c r="C74" s="114">
        <v>0</v>
      </c>
      <c r="D74" s="179">
        <f t="shared" si="13"/>
        <v>0</v>
      </c>
      <c r="E74" s="172">
        <v>0</v>
      </c>
      <c r="F74" s="190">
        <f t="shared" si="13"/>
        <v>0</v>
      </c>
      <c r="G74" s="114">
        <v>0</v>
      </c>
      <c r="H74" s="179">
        <f t="shared" si="14"/>
        <v>0</v>
      </c>
      <c r="I74" s="172">
        <v>1</v>
      </c>
      <c r="J74" s="179">
        <f t="shared" si="14"/>
        <v>4.3478260869565216E-2</v>
      </c>
      <c r="K74" s="172">
        <v>0</v>
      </c>
      <c r="L74" s="190">
        <f t="shared" si="15"/>
        <v>0</v>
      </c>
      <c r="M74" s="114">
        <v>0</v>
      </c>
      <c r="N74" s="190">
        <f t="shared" si="15"/>
        <v>0</v>
      </c>
      <c r="O74" s="114">
        <v>0</v>
      </c>
      <c r="P74" s="190">
        <f t="shared" si="15"/>
        <v>0</v>
      </c>
      <c r="Q74" s="114">
        <f>0</f>
        <v>0</v>
      </c>
      <c r="R74" s="190">
        <f t="shared" si="16"/>
        <v>0</v>
      </c>
      <c r="S74" s="114">
        <v>0</v>
      </c>
      <c r="T74" s="190">
        <f t="shared" si="16"/>
        <v>0</v>
      </c>
      <c r="U74" s="114">
        <v>0</v>
      </c>
      <c r="V74" s="190">
        <f t="shared" si="17"/>
        <v>0</v>
      </c>
      <c r="W74" s="114">
        <v>0</v>
      </c>
      <c r="X74" s="190">
        <f t="shared" si="18"/>
        <v>0</v>
      </c>
      <c r="Z74" s="658">
        <f t="shared" si="19"/>
        <v>0</v>
      </c>
      <c r="AA74" s="673">
        <f t="shared" si="20"/>
        <v>0</v>
      </c>
    </row>
    <row r="75" spans="2:27" x14ac:dyDescent="0.2">
      <c r="B75" s="70" t="s">
        <v>69</v>
      </c>
      <c r="C75" s="114">
        <v>0</v>
      </c>
      <c r="D75" s="179">
        <f t="shared" si="13"/>
        <v>0</v>
      </c>
      <c r="E75" s="172">
        <v>0</v>
      </c>
      <c r="F75" s="190">
        <f t="shared" si="13"/>
        <v>0</v>
      </c>
      <c r="G75" s="114">
        <v>0</v>
      </c>
      <c r="H75" s="179">
        <f t="shared" si="14"/>
        <v>0</v>
      </c>
      <c r="I75" s="172">
        <v>0</v>
      </c>
      <c r="J75" s="179">
        <f t="shared" si="14"/>
        <v>0</v>
      </c>
      <c r="K75" s="172">
        <v>0</v>
      </c>
      <c r="L75" s="190">
        <f t="shared" si="15"/>
        <v>0</v>
      </c>
      <c r="M75" s="114">
        <v>0</v>
      </c>
      <c r="N75" s="190">
        <f t="shared" si="15"/>
        <v>0</v>
      </c>
      <c r="O75" s="114">
        <v>0</v>
      </c>
      <c r="P75" s="190">
        <f t="shared" si="15"/>
        <v>0</v>
      </c>
      <c r="Q75" s="114">
        <f>0</f>
        <v>0</v>
      </c>
      <c r="R75" s="190">
        <f t="shared" si="16"/>
        <v>0</v>
      </c>
      <c r="S75" s="114">
        <v>0</v>
      </c>
      <c r="T75" s="190">
        <f t="shared" si="16"/>
        <v>0</v>
      </c>
      <c r="U75" s="114">
        <v>0</v>
      </c>
      <c r="V75" s="190">
        <f t="shared" si="17"/>
        <v>0</v>
      </c>
      <c r="W75" s="114">
        <v>0</v>
      </c>
      <c r="X75" s="190">
        <f t="shared" si="18"/>
        <v>0</v>
      </c>
      <c r="Z75" s="658">
        <f t="shared" si="19"/>
        <v>0</v>
      </c>
      <c r="AA75" s="673">
        <f t="shared" si="20"/>
        <v>0</v>
      </c>
    </row>
    <row r="76" spans="2:27" x14ac:dyDescent="0.2">
      <c r="B76" s="70" t="s">
        <v>70</v>
      </c>
      <c r="C76" s="114">
        <v>1</v>
      </c>
      <c r="D76" s="179">
        <f t="shared" si="13"/>
        <v>5.5555555555555552E-2</v>
      </c>
      <c r="E76" s="172">
        <v>1</v>
      </c>
      <c r="F76" s="190">
        <f t="shared" si="13"/>
        <v>5.8823529411764705E-2</v>
      </c>
      <c r="G76" s="114">
        <v>1</v>
      </c>
      <c r="H76" s="179">
        <f t="shared" si="14"/>
        <v>5.5555555555555552E-2</v>
      </c>
      <c r="I76" s="172">
        <v>1</v>
      </c>
      <c r="J76" s="179">
        <f t="shared" si="14"/>
        <v>4.3478260869565216E-2</v>
      </c>
      <c r="K76" s="172">
        <v>0</v>
      </c>
      <c r="L76" s="190">
        <f t="shared" si="15"/>
        <v>0</v>
      </c>
      <c r="M76" s="114">
        <v>0</v>
      </c>
      <c r="N76" s="190">
        <f t="shared" si="15"/>
        <v>0</v>
      </c>
      <c r="O76" s="114">
        <v>0</v>
      </c>
      <c r="P76" s="190">
        <f t="shared" si="15"/>
        <v>0</v>
      </c>
      <c r="Q76" s="114">
        <f>0</f>
        <v>0</v>
      </c>
      <c r="R76" s="190">
        <f t="shared" si="16"/>
        <v>0</v>
      </c>
      <c r="S76" s="114">
        <v>0</v>
      </c>
      <c r="T76" s="190">
        <f t="shared" si="16"/>
        <v>0</v>
      </c>
      <c r="U76" s="114">
        <v>1</v>
      </c>
      <c r="V76" s="190">
        <f t="shared" si="17"/>
        <v>5.5555555555555552E-2</v>
      </c>
      <c r="W76" s="114">
        <v>2</v>
      </c>
      <c r="X76" s="190">
        <f t="shared" si="18"/>
        <v>0.125</v>
      </c>
      <c r="Z76" s="658">
        <f t="shared" si="19"/>
        <v>0.6</v>
      </c>
      <c r="AA76" s="673">
        <f t="shared" si="20"/>
        <v>3.6111111111111108E-2</v>
      </c>
    </row>
    <row r="77" spans="2:27" x14ac:dyDescent="0.2">
      <c r="B77" s="70" t="s">
        <v>71</v>
      </c>
      <c r="C77" s="114">
        <v>0</v>
      </c>
      <c r="D77" s="179">
        <f t="shared" si="13"/>
        <v>0</v>
      </c>
      <c r="E77" s="172">
        <v>0</v>
      </c>
      <c r="F77" s="190">
        <f t="shared" si="13"/>
        <v>0</v>
      </c>
      <c r="G77" s="114">
        <v>0</v>
      </c>
      <c r="H77" s="179">
        <f t="shared" si="14"/>
        <v>0</v>
      </c>
      <c r="I77" s="172">
        <v>0</v>
      </c>
      <c r="J77" s="179">
        <f t="shared" si="14"/>
        <v>0</v>
      </c>
      <c r="K77" s="172">
        <v>0</v>
      </c>
      <c r="L77" s="190">
        <f t="shared" si="15"/>
        <v>0</v>
      </c>
      <c r="M77" s="114">
        <v>0</v>
      </c>
      <c r="N77" s="190">
        <f t="shared" si="15"/>
        <v>0</v>
      </c>
      <c r="O77" s="114">
        <v>0</v>
      </c>
      <c r="P77" s="190">
        <f t="shared" si="15"/>
        <v>0</v>
      </c>
      <c r="Q77" s="114">
        <f>1</f>
        <v>1</v>
      </c>
      <c r="R77" s="190">
        <f t="shared" si="16"/>
        <v>6.6666666666666666E-2</v>
      </c>
      <c r="S77" s="114">
        <v>1</v>
      </c>
      <c r="T77" s="190">
        <f t="shared" si="16"/>
        <v>0.05</v>
      </c>
      <c r="U77" s="114">
        <v>1</v>
      </c>
      <c r="V77" s="190">
        <f t="shared" si="17"/>
        <v>5.5555555555555552E-2</v>
      </c>
      <c r="W77" s="114">
        <v>0</v>
      </c>
      <c r="X77" s="190">
        <f t="shared" si="18"/>
        <v>0</v>
      </c>
      <c r="Z77" s="658">
        <f t="shared" si="19"/>
        <v>0.6</v>
      </c>
      <c r="AA77" s="673">
        <f t="shared" si="20"/>
        <v>3.4444444444444444E-2</v>
      </c>
    </row>
    <row r="78" spans="2:27" x14ac:dyDescent="0.2">
      <c r="B78" s="70" t="s">
        <v>170</v>
      </c>
      <c r="C78" s="115"/>
      <c r="D78" s="179"/>
      <c r="E78" s="1086"/>
      <c r="F78" s="1084"/>
      <c r="G78" s="1083"/>
      <c r="H78" s="1085"/>
      <c r="I78" s="1086"/>
      <c r="J78" s="1085"/>
      <c r="K78" s="1086"/>
      <c r="L78" s="1084"/>
      <c r="M78" s="1083"/>
      <c r="N78" s="1084"/>
      <c r="O78" s="115">
        <v>0</v>
      </c>
      <c r="P78" s="190">
        <f t="shared" si="15"/>
        <v>0</v>
      </c>
      <c r="Q78" s="115">
        <f>0</f>
        <v>0</v>
      </c>
      <c r="R78" s="190">
        <f t="shared" si="16"/>
        <v>0</v>
      </c>
      <c r="S78" s="115">
        <v>0</v>
      </c>
      <c r="T78" s="190">
        <f t="shared" si="16"/>
        <v>0</v>
      </c>
      <c r="U78" s="115">
        <v>0</v>
      </c>
      <c r="V78" s="190">
        <f t="shared" si="17"/>
        <v>0</v>
      </c>
      <c r="W78" s="115">
        <v>0</v>
      </c>
      <c r="X78" s="190">
        <f t="shared" si="18"/>
        <v>0</v>
      </c>
      <c r="Z78" s="658">
        <f t="shared" si="19"/>
        <v>0</v>
      </c>
      <c r="AA78" s="673">
        <f t="shared" si="20"/>
        <v>0</v>
      </c>
    </row>
    <row r="79" spans="2:27" x14ac:dyDescent="0.2">
      <c r="B79" s="70" t="s">
        <v>72</v>
      </c>
      <c r="C79" s="115">
        <v>0</v>
      </c>
      <c r="D79" s="179">
        <f t="shared" si="13"/>
        <v>0</v>
      </c>
      <c r="E79" s="174">
        <v>0</v>
      </c>
      <c r="F79" s="190">
        <f t="shared" si="13"/>
        <v>0</v>
      </c>
      <c r="G79" s="115">
        <v>0</v>
      </c>
      <c r="H79" s="179">
        <f t="shared" si="14"/>
        <v>0</v>
      </c>
      <c r="I79" s="174">
        <v>0</v>
      </c>
      <c r="J79" s="179">
        <f t="shared" si="14"/>
        <v>0</v>
      </c>
      <c r="K79" s="174">
        <v>0</v>
      </c>
      <c r="L79" s="190">
        <f t="shared" si="15"/>
        <v>0</v>
      </c>
      <c r="M79" s="115">
        <v>0</v>
      </c>
      <c r="N79" s="190">
        <f t="shared" si="15"/>
        <v>0</v>
      </c>
      <c r="O79" s="115">
        <v>0</v>
      </c>
      <c r="P79" s="190">
        <f t="shared" si="15"/>
        <v>0</v>
      </c>
      <c r="Q79" s="115">
        <f>0</f>
        <v>0</v>
      </c>
      <c r="R79" s="190">
        <f t="shared" si="16"/>
        <v>0</v>
      </c>
      <c r="S79" s="115">
        <v>0</v>
      </c>
      <c r="T79" s="190">
        <f t="shared" si="16"/>
        <v>0</v>
      </c>
      <c r="U79" s="115">
        <v>0</v>
      </c>
      <c r="V79" s="190">
        <f t="shared" si="17"/>
        <v>0</v>
      </c>
      <c r="W79" s="115">
        <v>0</v>
      </c>
      <c r="X79" s="190">
        <f t="shared" si="18"/>
        <v>0</v>
      </c>
      <c r="Z79" s="658">
        <f t="shared" si="19"/>
        <v>0</v>
      </c>
      <c r="AA79" s="673">
        <f t="shared" si="20"/>
        <v>0</v>
      </c>
    </row>
    <row r="80" spans="2:27" x14ac:dyDescent="0.2">
      <c r="B80" s="287" t="s">
        <v>85</v>
      </c>
      <c r="C80" s="185"/>
      <c r="D80" s="299"/>
      <c r="E80" s="303"/>
      <c r="F80" s="245"/>
      <c r="G80" s="185"/>
      <c r="H80" s="299"/>
      <c r="I80" s="303"/>
      <c r="J80" s="299"/>
      <c r="K80" s="303"/>
      <c r="L80" s="245"/>
      <c r="M80" s="185"/>
      <c r="N80" s="245"/>
      <c r="O80" s="185"/>
      <c r="P80" s="245"/>
      <c r="Q80" s="185"/>
      <c r="R80" s="245"/>
      <c r="S80" s="185"/>
      <c r="T80" s="245"/>
      <c r="U80" s="185"/>
      <c r="V80" s="245"/>
      <c r="W80" s="185"/>
      <c r="X80" s="245"/>
      <c r="Z80" s="658"/>
      <c r="AA80" s="673"/>
    </row>
    <row r="81" spans="1:29" x14ac:dyDescent="0.2">
      <c r="B81" s="47" t="s">
        <v>73</v>
      </c>
      <c r="C81" s="116">
        <v>9</v>
      </c>
      <c r="D81" s="265">
        <f>C81/D$70</f>
        <v>0.5</v>
      </c>
      <c r="E81" s="188">
        <v>7</v>
      </c>
      <c r="F81" s="246">
        <f>E81/F$70</f>
        <v>0.41176470588235292</v>
      </c>
      <c r="G81" s="313">
        <v>8</v>
      </c>
      <c r="H81" s="179">
        <f>G81/H$70</f>
        <v>0.44444444444444442</v>
      </c>
      <c r="I81" s="188">
        <v>11</v>
      </c>
      <c r="J81" s="179">
        <f>I81/J$70</f>
        <v>0.47826086956521741</v>
      </c>
      <c r="K81" s="188">
        <v>8</v>
      </c>
      <c r="L81" s="190">
        <f>K81/L$70</f>
        <v>0.5714285714285714</v>
      </c>
      <c r="M81" s="313">
        <v>7</v>
      </c>
      <c r="N81" s="190">
        <f>M81/N$70</f>
        <v>0.53846153846153844</v>
      </c>
      <c r="O81" s="313">
        <v>6</v>
      </c>
      <c r="P81" s="190">
        <f>O81/P$70</f>
        <v>0.5</v>
      </c>
      <c r="Q81" s="313">
        <f>5+2</f>
        <v>7</v>
      </c>
      <c r="R81" s="190">
        <f>Q81/R$70</f>
        <v>0.46666666666666667</v>
      </c>
      <c r="S81" s="313">
        <v>9</v>
      </c>
      <c r="T81" s="190">
        <f>S81/T$70</f>
        <v>0.45</v>
      </c>
      <c r="U81" s="313">
        <f>1+5</f>
        <v>6</v>
      </c>
      <c r="V81" s="190">
        <f>U81/V$70</f>
        <v>0.33333333333333331</v>
      </c>
      <c r="W81" s="313">
        <v>5</v>
      </c>
      <c r="X81" s="190">
        <f>W81/X$70</f>
        <v>0.3125</v>
      </c>
      <c r="Z81" s="658">
        <f t="shared" ref="Z81:Z82" si="21">AVERAGE(W81,S81,Q81,U81,O81)</f>
        <v>6.6</v>
      </c>
      <c r="AA81" s="673">
        <f t="shared" ref="AA81:AA82" si="22">AVERAGE(X81,T81,R81,V81,P81)</f>
        <v>0.41249999999999998</v>
      </c>
    </row>
    <row r="82" spans="1:29" x14ac:dyDescent="0.2">
      <c r="B82" s="47" t="s">
        <v>74</v>
      </c>
      <c r="C82" s="182">
        <v>9</v>
      </c>
      <c r="D82" s="265">
        <f>C82/D$70</f>
        <v>0.5</v>
      </c>
      <c r="E82" s="191">
        <v>10</v>
      </c>
      <c r="F82" s="246">
        <f>E82/F$70</f>
        <v>0.58823529411764708</v>
      </c>
      <c r="G82" s="181">
        <v>10</v>
      </c>
      <c r="H82" s="179">
        <f>G82/H$70</f>
        <v>0.55555555555555558</v>
      </c>
      <c r="I82" s="191">
        <v>11</v>
      </c>
      <c r="J82" s="179">
        <f>I82/J$70</f>
        <v>0.47826086956521741</v>
      </c>
      <c r="K82" s="191">
        <v>6</v>
      </c>
      <c r="L82" s="190">
        <f>K82/L$70</f>
        <v>0.42857142857142855</v>
      </c>
      <c r="M82" s="181">
        <v>6</v>
      </c>
      <c r="N82" s="190">
        <f>M82/N$70</f>
        <v>0.46153846153846156</v>
      </c>
      <c r="O82" s="181">
        <v>6</v>
      </c>
      <c r="P82" s="190">
        <f>O82/P$70</f>
        <v>0.5</v>
      </c>
      <c r="Q82" s="181">
        <f>5+3</f>
        <v>8</v>
      </c>
      <c r="R82" s="190">
        <f>Q82/R$70</f>
        <v>0.53333333333333333</v>
      </c>
      <c r="S82" s="181">
        <v>11</v>
      </c>
      <c r="T82" s="190">
        <f>S82/T$70</f>
        <v>0.55000000000000004</v>
      </c>
      <c r="U82" s="181">
        <f>4+8</f>
        <v>12</v>
      </c>
      <c r="V82" s="190">
        <f>U82/V$70</f>
        <v>0.66666666666666663</v>
      </c>
      <c r="W82" s="181">
        <v>11</v>
      </c>
      <c r="X82" s="190">
        <f>W82/X$70</f>
        <v>0.6875</v>
      </c>
      <c r="Z82" s="658">
        <f t="shared" si="21"/>
        <v>9.6</v>
      </c>
      <c r="AA82" s="673">
        <f t="shared" si="22"/>
        <v>0.58750000000000002</v>
      </c>
    </row>
    <row r="83" spans="1:29" x14ac:dyDescent="0.2">
      <c r="B83" s="287" t="s">
        <v>86</v>
      </c>
      <c r="C83" s="186"/>
      <c r="D83" s="265"/>
      <c r="E83" s="304"/>
      <c r="F83" s="246"/>
      <c r="G83" s="225"/>
      <c r="H83" s="179"/>
      <c r="I83" s="304"/>
      <c r="J83" s="179"/>
      <c r="K83" s="304"/>
      <c r="L83" s="190"/>
      <c r="M83" s="225"/>
      <c r="N83" s="190"/>
      <c r="O83" s="225"/>
      <c r="P83" s="190"/>
      <c r="Q83" s="225"/>
      <c r="R83" s="190"/>
      <c r="S83" s="225"/>
      <c r="T83" s="190"/>
      <c r="U83" s="225"/>
      <c r="V83" s="190"/>
      <c r="W83" s="225"/>
      <c r="X83" s="190"/>
      <c r="Z83" s="658"/>
      <c r="AA83" s="673"/>
    </row>
    <row r="84" spans="1:29" x14ac:dyDescent="0.2">
      <c r="B84" s="47" t="s">
        <v>75</v>
      </c>
      <c r="C84" s="182">
        <v>11</v>
      </c>
      <c r="D84" s="265">
        <f>C84/D$70</f>
        <v>0.61111111111111116</v>
      </c>
      <c r="E84" s="191">
        <v>10</v>
      </c>
      <c r="F84" s="246">
        <f>E84/F$70</f>
        <v>0.58823529411764708</v>
      </c>
      <c r="G84" s="181">
        <v>9</v>
      </c>
      <c r="H84" s="179">
        <f>G84/H$70</f>
        <v>0.5</v>
      </c>
      <c r="I84" s="191">
        <v>9</v>
      </c>
      <c r="J84" s="179">
        <f>I84/J$70</f>
        <v>0.39130434782608697</v>
      </c>
      <c r="K84" s="191">
        <v>10</v>
      </c>
      <c r="L84" s="190">
        <f>K84/L$70</f>
        <v>0.7142857142857143</v>
      </c>
      <c r="M84" s="181">
        <v>11</v>
      </c>
      <c r="N84" s="190">
        <f>M84/N$70</f>
        <v>0.84615384615384615</v>
      </c>
      <c r="O84" s="181">
        <v>10</v>
      </c>
      <c r="P84" s="190">
        <f>O84/P$70</f>
        <v>0.83333333333333337</v>
      </c>
      <c r="Q84" s="181">
        <f>7+1</f>
        <v>8</v>
      </c>
      <c r="R84" s="190">
        <f>Q84/R$70</f>
        <v>0.53333333333333333</v>
      </c>
      <c r="S84" s="181">
        <v>9</v>
      </c>
      <c r="T84" s="190">
        <f>S84/T$70</f>
        <v>0.45</v>
      </c>
      <c r="U84" s="181">
        <f>2+6</f>
        <v>8</v>
      </c>
      <c r="V84" s="190">
        <f>U84/V$70</f>
        <v>0.44444444444444442</v>
      </c>
      <c r="W84" s="181">
        <v>6</v>
      </c>
      <c r="X84" s="190">
        <f>W84/X$70</f>
        <v>0.375</v>
      </c>
      <c r="Z84" s="658">
        <f t="shared" ref="Z84:Z86" si="23">AVERAGE(W84,S84,Q84,U84,O84)</f>
        <v>8.1999999999999993</v>
      </c>
      <c r="AA84" s="673">
        <f t="shared" ref="AA84:AA86" si="24">AVERAGE(X84,T84,R84,V84,P84)</f>
        <v>0.52722222222222226</v>
      </c>
    </row>
    <row r="85" spans="1:29" x14ac:dyDescent="0.2">
      <c r="B85" s="47" t="s">
        <v>76</v>
      </c>
      <c r="C85" s="182">
        <v>3</v>
      </c>
      <c r="D85" s="265">
        <f>C85/D$70</f>
        <v>0.16666666666666666</v>
      </c>
      <c r="E85" s="191">
        <v>2</v>
      </c>
      <c r="F85" s="246">
        <f>E85/F$70</f>
        <v>0.11764705882352941</v>
      </c>
      <c r="G85" s="181">
        <v>2</v>
      </c>
      <c r="H85" s="179">
        <f>G85/H$70</f>
        <v>0.1111111111111111</v>
      </c>
      <c r="I85" s="191">
        <v>2</v>
      </c>
      <c r="J85" s="179">
        <f>I85/J$70</f>
        <v>8.6956521739130432E-2</v>
      </c>
      <c r="K85" s="191">
        <v>2</v>
      </c>
      <c r="L85" s="190">
        <f>K85/L$70</f>
        <v>0.14285714285714285</v>
      </c>
      <c r="M85" s="181">
        <v>1</v>
      </c>
      <c r="N85" s="190">
        <f>M85/N$70</f>
        <v>7.6923076923076927E-2</v>
      </c>
      <c r="O85" s="181">
        <v>1</v>
      </c>
      <c r="P85" s="190">
        <f>O85/P$70</f>
        <v>8.3333333333333329E-2</v>
      </c>
      <c r="Q85" s="181">
        <f>2</f>
        <v>2</v>
      </c>
      <c r="R85" s="190">
        <f>Q85/R$70</f>
        <v>0.13333333333333333</v>
      </c>
      <c r="S85" s="181">
        <v>4</v>
      </c>
      <c r="T85" s="190">
        <f>S85/T$70</f>
        <v>0.2</v>
      </c>
      <c r="U85" s="181">
        <v>5</v>
      </c>
      <c r="V85" s="190">
        <f>U85/V$70</f>
        <v>0.27777777777777779</v>
      </c>
      <c r="W85" s="181">
        <v>5</v>
      </c>
      <c r="X85" s="190">
        <f>W85/X$70</f>
        <v>0.3125</v>
      </c>
      <c r="Z85" s="658">
        <f t="shared" si="23"/>
        <v>3.4</v>
      </c>
      <c r="AA85" s="673">
        <f t="shared" si="24"/>
        <v>0.2013888888888889</v>
      </c>
    </row>
    <row r="86" spans="1:29" x14ac:dyDescent="0.2">
      <c r="B86" s="47" t="s">
        <v>77</v>
      </c>
      <c r="C86" s="182">
        <v>4</v>
      </c>
      <c r="D86" s="265">
        <f>C86/D$70</f>
        <v>0.22222222222222221</v>
      </c>
      <c r="E86" s="191">
        <v>5</v>
      </c>
      <c r="F86" s="246">
        <f>E86/F$70</f>
        <v>0.29411764705882354</v>
      </c>
      <c r="G86" s="181">
        <v>7</v>
      </c>
      <c r="H86" s="179">
        <f>G86/H$70</f>
        <v>0.3888888888888889</v>
      </c>
      <c r="I86" s="191">
        <v>11</v>
      </c>
      <c r="J86" s="179">
        <f>I86/J$70</f>
        <v>0.47826086956521741</v>
      </c>
      <c r="K86" s="191">
        <v>2</v>
      </c>
      <c r="L86" s="190">
        <f>K86/L$70</f>
        <v>0.14285714285714285</v>
      </c>
      <c r="M86" s="181">
        <v>1</v>
      </c>
      <c r="N86" s="190">
        <f>M86/N$70</f>
        <v>7.6923076923076927E-2</v>
      </c>
      <c r="O86" s="181">
        <v>1</v>
      </c>
      <c r="P86" s="190">
        <f>O86/P$70</f>
        <v>8.3333333333333329E-2</v>
      </c>
      <c r="Q86" s="181">
        <f>1+4</f>
        <v>5</v>
      </c>
      <c r="R86" s="190">
        <f>Q86/R$70</f>
        <v>0.33333333333333331</v>
      </c>
      <c r="S86" s="181">
        <v>7</v>
      </c>
      <c r="T86" s="190">
        <f>S86/T$70</f>
        <v>0.35</v>
      </c>
      <c r="U86" s="181">
        <v>5</v>
      </c>
      <c r="V86" s="190">
        <f>U86/V$70</f>
        <v>0.27777777777777779</v>
      </c>
      <c r="W86" s="181">
        <v>5</v>
      </c>
      <c r="X86" s="190">
        <f>W86/X$70</f>
        <v>0.3125</v>
      </c>
      <c r="Z86" s="658">
        <f t="shared" si="23"/>
        <v>4.5999999999999996</v>
      </c>
      <c r="AA86" s="673">
        <f t="shared" si="24"/>
        <v>0.2713888888888889</v>
      </c>
    </row>
    <row r="87" spans="1:29" x14ac:dyDescent="0.2">
      <c r="B87" s="287" t="s">
        <v>87</v>
      </c>
      <c r="C87" s="186"/>
      <c r="D87" s="265"/>
      <c r="E87" s="304"/>
      <c r="F87" s="246"/>
      <c r="G87" s="225"/>
      <c r="H87" s="179"/>
      <c r="I87" s="304"/>
      <c r="J87" s="179"/>
      <c r="K87" s="304"/>
      <c r="L87" s="190"/>
      <c r="M87" s="225"/>
      <c r="N87" s="190"/>
      <c r="O87" s="225"/>
      <c r="P87" s="190"/>
      <c r="Q87" s="225"/>
      <c r="R87" s="190"/>
      <c r="S87" s="225"/>
      <c r="T87" s="190"/>
      <c r="U87" s="225"/>
      <c r="V87" s="190"/>
      <c r="W87" s="225"/>
      <c r="X87" s="190"/>
      <c r="Z87" s="658"/>
      <c r="AA87" s="673"/>
    </row>
    <row r="88" spans="1:29" x14ac:dyDescent="0.2">
      <c r="B88" s="47" t="s">
        <v>78</v>
      </c>
      <c r="C88" s="182">
        <v>17</v>
      </c>
      <c r="D88" s="265">
        <f>C88/D$70</f>
        <v>0.94444444444444442</v>
      </c>
      <c r="E88" s="191">
        <v>17</v>
      </c>
      <c r="F88" s="246">
        <f>E88/F$70</f>
        <v>1</v>
      </c>
      <c r="G88" s="181">
        <v>17</v>
      </c>
      <c r="H88" s="179">
        <f>G88/H$70</f>
        <v>0.94444444444444442</v>
      </c>
      <c r="I88" s="191">
        <v>18</v>
      </c>
      <c r="J88" s="179">
        <f>I88/J$70</f>
        <v>0.78260869565217395</v>
      </c>
      <c r="K88" s="191">
        <v>14</v>
      </c>
      <c r="L88" s="190">
        <f>K88/L$70</f>
        <v>1</v>
      </c>
      <c r="M88" s="181">
        <v>13</v>
      </c>
      <c r="N88" s="190">
        <f>M88/N$70</f>
        <v>1</v>
      </c>
      <c r="O88" s="181">
        <v>12</v>
      </c>
      <c r="P88" s="190">
        <f>O88/P$70</f>
        <v>1</v>
      </c>
      <c r="Q88" s="181">
        <f>10+3</f>
        <v>13</v>
      </c>
      <c r="R88" s="190">
        <f>Q88/R$70</f>
        <v>0.8666666666666667</v>
      </c>
      <c r="S88" s="181">
        <v>18</v>
      </c>
      <c r="T88" s="190">
        <f>S88/T$70</f>
        <v>0.9</v>
      </c>
      <c r="U88" s="181">
        <f>5+13</f>
        <v>18</v>
      </c>
      <c r="V88" s="190">
        <f>U88/V$70</f>
        <v>1</v>
      </c>
      <c r="W88" s="181">
        <v>16</v>
      </c>
      <c r="X88" s="190">
        <f>W88/X$70</f>
        <v>1</v>
      </c>
      <c r="Z88" s="658">
        <f t="shared" ref="Z88:Z91" si="25">AVERAGE(W88,S88,Q88,U88,O88)</f>
        <v>15.4</v>
      </c>
      <c r="AA88" s="673">
        <f t="shared" ref="AA88:AA91" si="26">AVERAGE(X88,T88,R88,V88,P88)</f>
        <v>0.95333333333333337</v>
      </c>
    </row>
    <row r="89" spans="1:29" x14ac:dyDescent="0.2">
      <c r="B89" s="47" t="s">
        <v>79</v>
      </c>
      <c r="C89" s="182">
        <v>1</v>
      </c>
      <c r="D89" s="265">
        <f>C89/D$70</f>
        <v>5.5555555555555552E-2</v>
      </c>
      <c r="E89" s="191">
        <v>0</v>
      </c>
      <c r="F89" s="246">
        <f>E89/F$70</f>
        <v>0</v>
      </c>
      <c r="G89" s="181">
        <v>1</v>
      </c>
      <c r="H89" s="179">
        <f>G89/H$70</f>
        <v>5.5555555555555552E-2</v>
      </c>
      <c r="I89" s="191">
        <v>2</v>
      </c>
      <c r="J89" s="179">
        <f>I89/J$70</f>
        <v>8.6956521739130432E-2</v>
      </c>
      <c r="K89" s="191">
        <v>0</v>
      </c>
      <c r="L89" s="190">
        <f>K89/L$70</f>
        <v>0</v>
      </c>
      <c r="M89" s="181">
        <v>0</v>
      </c>
      <c r="N89" s="190">
        <f>M89/N$70</f>
        <v>0</v>
      </c>
      <c r="O89" s="181">
        <v>0</v>
      </c>
      <c r="P89" s="190">
        <f>O89/P$70</f>
        <v>0</v>
      </c>
      <c r="Q89" s="181">
        <f>2</f>
        <v>2</v>
      </c>
      <c r="R89" s="190">
        <f>Q89/R$70</f>
        <v>0.13333333333333333</v>
      </c>
      <c r="S89" s="181">
        <v>2</v>
      </c>
      <c r="T89" s="190">
        <f>S89/T$70</f>
        <v>0.1</v>
      </c>
      <c r="U89" s="181">
        <v>0</v>
      </c>
      <c r="V89" s="190">
        <f>U89/V$70</f>
        <v>0</v>
      </c>
      <c r="W89" s="181">
        <v>0</v>
      </c>
      <c r="X89" s="190">
        <f>W89/X$70</f>
        <v>0</v>
      </c>
      <c r="Z89" s="658">
        <f t="shared" si="25"/>
        <v>0.8</v>
      </c>
      <c r="AA89" s="673">
        <f t="shared" si="26"/>
        <v>4.6666666666666669E-2</v>
      </c>
    </row>
    <row r="90" spans="1:29" x14ac:dyDescent="0.2">
      <c r="B90" s="47" t="s">
        <v>80</v>
      </c>
      <c r="C90" s="182">
        <v>0</v>
      </c>
      <c r="D90" s="265">
        <f>C90/D$70</f>
        <v>0</v>
      </c>
      <c r="E90" s="191">
        <v>0</v>
      </c>
      <c r="F90" s="246">
        <f>E90/F$70</f>
        <v>0</v>
      </c>
      <c r="G90" s="181">
        <v>0</v>
      </c>
      <c r="H90" s="179">
        <f>G90/H$70</f>
        <v>0</v>
      </c>
      <c r="I90" s="191">
        <v>2</v>
      </c>
      <c r="J90" s="179">
        <f>I90/J$70</f>
        <v>8.6956521739130432E-2</v>
      </c>
      <c r="K90" s="191">
        <v>0</v>
      </c>
      <c r="L90" s="190">
        <f>K90/L$70</f>
        <v>0</v>
      </c>
      <c r="M90" s="181">
        <v>0</v>
      </c>
      <c r="N90" s="190">
        <f>M90/N$70</f>
        <v>0</v>
      </c>
      <c r="O90" s="181">
        <v>0</v>
      </c>
      <c r="P90" s="190">
        <f>O90/P$70</f>
        <v>0</v>
      </c>
      <c r="Q90" s="181">
        <f>0</f>
        <v>0</v>
      </c>
      <c r="R90" s="190">
        <f>Q90/R$70</f>
        <v>0</v>
      </c>
      <c r="S90" s="181">
        <v>0</v>
      </c>
      <c r="T90" s="190">
        <f>S90/T$70</f>
        <v>0</v>
      </c>
      <c r="U90" s="181">
        <v>0</v>
      </c>
      <c r="V90" s="190">
        <f>U90/V$70</f>
        <v>0</v>
      </c>
      <c r="W90" s="181">
        <v>0</v>
      </c>
      <c r="X90" s="190">
        <f>W90/X$70</f>
        <v>0</v>
      </c>
      <c r="Z90" s="658">
        <f t="shared" si="25"/>
        <v>0</v>
      </c>
      <c r="AA90" s="673">
        <f t="shared" si="26"/>
        <v>0</v>
      </c>
    </row>
    <row r="91" spans="1:29" ht="13.5" thickBot="1" x14ac:dyDescent="0.25">
      <c r="B91" s="519" t="s">
        <v>81</v>
      </c>
      <c r="C91" s="187">
        <v>0</v>
      </c>
      <c r="D91" s="267">
        <f>C91/D$70</f>
        <v>0</v>
      </c>
      <c r="E91" s="197">
        <v>0</v>
      </c>
      <c r="F91" s="247">
        <f>E91/F$70</f>
        <v>0</v>
      </c>
      <c r="G91" s="198">
        <v>0</v>
      </c>
      <c r="H91" s="180">
        <f>G91/H$70</f>
        <v>0</v>
      </c>
      <c r="I91" s="197">
        <v>0</v>
      </c>
      <c r="J91" s="180">
        <f>I91/J$70</f>
        <v>0</v>
      </c>
      <c r="K91" s="197">
        <v>0</v>
      </c>
      <c r="L91" s="761">
        <f>K91/L$70</f>
        <v>0</v>
      </c>
      <c r="M91" s="198">
        <v>0</v>
      </c>
      <c r="N91" s="761">
        <f>M91/N$70</f>
        <v>0</v>
      </c>
      <c r="O91" s="198">
        <v>0</v>
      </c>
      <c r="P91" s="761">
        <f>O91/P$70</f>
        <v>0</v>
      </c>
      <c r="Q91" s="198">
        <f>0</f>
        <v>0</v>
      </c>
      <c r="R91" s="761">
        <f>Q91/R$70</f>
        <v>0</v>
      </c>
      <c r="S91" s="198">
        <v>0</v>
      </c>
      <c r="T91" s="761">
        <f>S91/T$70</f>
        <v>0</v>
      </c>
      <c r="U91" s="198">
        <v>0</v>
      </c>
      <c r="V91" s="761">
        <f>U91/V$70</f>
        <v>0</v>
      </c>
      <c r="W91" s="198">
        <v>0</v>
      </c>
      <c r="X91" s="761">
        <f>W91/X$70</f>
        <v>0</v>
      </c>
      <c r="Z91" s="658">
        <f t="shared" si="25"/>
        <v>0</v>
      </c>
      <c r="AA91" s="673">
        <f t="shared" si="26"/>
        <v>0</v>
      </c>
      <c r="AB91" s="578"/>
      <c r="AC91" s="578"/>
    </row>
    <row r="92" spans="1:29" ht="14.25" thickTop="1" thickBot="1" x14ac:dyDescent="0.25">
      <c r="A92" s="430"/>
      <c r="B92" s="512" t="s">
        <v>112</v>
      </c>
      <c r="C92" s="1230" t="s">
        <v>31</v>
      </c>
      <c r="D92" s="1259"/>
      <c r="E92" s="1249" t="s">
        <v>110</v>
      </c>
      <c r="F92" s="1257"/>
      <c r="G92" s="1249" t="s">
        <v>111</v>
      </c>
      <c r="H92" s="1257"/>
      <c r="I92" s="1249" t="s">
        <v>128</v>
      </c>
      <c r="J92" s="1257"/>
      <c r="K92" s="1254" t="s">
        <v>129</v>
      </c>
      <c r="L92" s="1219"/>
      <c r="M92" s="1218" t="s">
        <v>156</v>
      </c>
      <c r="N92" s="1219"/>
      <c r="O92" s="1218" t="s">
        <v>161</v>
      </c>
      <c r="P92" s="1219"/>
      <c r="Q92" s="1218" t="s">
        <v>180</v>
      </c>
      <c r="R92" s="1219"/>
      <c r="S92" s="1218" t="s">
        <v>190</v>
      </c>
      <c r="T92" s="1219"/>
      <c r="U92" s="1218" t="s">
        <v>195</v>
      </c>
      <c r="V92" s="1219"/>
      <c r="W92" s="1218" t="s">
        <v>199</v>
      </c>
      <c r="X92" s="1219"/>
      <c r="Y92" s="430"/>
      <c r="Z92" s="1298" t="s">
        <v>142</v>
      </c>
      <c r="AA92" s="1299"/>
      <c r="AB92" s="432"/>
      <c r="AC92" s="432"/>
    </row>
    <row r="93" spans="1:29" x14ac:dyDescent="0.2">
      <c r="A93" s="430"/>
      <c r="B93" s="513"/>
      <c r="C93" s="514" t="s">
        <v>82</v>
      </c>
      <c r="D93" s="515" t="s">
        <v>17</v>
      </c>
      <c r="E93" s="514" t="s">
        <v>82</v>
      </c>
      <c r="F93" s="515" t="s">
        <v>17</v>
      </c>
      <c r="G93" s="514" t="s">
        <v>82</v>
      </c>
      <c r="H93" s="515" t="s">
        <v>17</v>
      </c>
      <c r="I93" s="514" t="s">
        <v>82</v>
      </c>
      <c r="J93" s="515" t="s">
        <v>17</v>
      </c>
      <c r="K93" s="514" t="s">
        <v>82</v>
      </c>
      <c r="L93" s="579" t="s">
        <v>17</v>
      </c>
      <c r="M93" s="514" t="s">
        <v>82</v>
      </c>
      <c r="N93" s="515" t="s">
        <v>17</v>
      </c>
      <c r="O93" s="751" t="s">
        <v>82</v>
      </c>
      <c r="P93" s="515" t="s">
        <v>17</v>
      </c>
      <c r="Q93" s="751" t="s">
        <v>82</v>
      </c>
      <c r="R93" s="515" t="s">
        <v>17</v>
      </c>
      <c r="S93" s="751" t="s">
        <v>82</v>
      </c>
      <c r="T93" s="515" t="s">
        <v>17</v>
      </c>
      <c r="U93" s="751" t="s">
        <v>82</v>
      </c>
      <c r="V93" s="515" t="s">
        <v>17</v>
      </c>
      <c r="W93" s="751" t="s">
        <v>82</v>
      </c>
      <c r="X93" s="515" t="s">
        <v>17</v>
      </c>
      <c r="Y93" s="430"/>
      <c r="Z93" s="683" t="s">
        <v>82</v>
      </c>
      <c r="AA93" s="684" t="s">
        <v>17</v>
      </c>
      <c r="AB93" s="432"/>
      <c r="AC93" s="432"/>
    </row>
    <row r="94" spans="1:29" x14ac:dyDescent="0.2">
      <c r="A94" s="430"/>
      <c r="B94" s="283" t="s">
        <v>113</v>
      </c>
      <c r="C94" s="517">
        <v>0</v>
      </c>
      <c r="D94" s="518">
        <v>0</v>
      </c>
      <c r="E94" s="517">
        <v>0</v>
      </c>
      <c r="F94" s="518">
        <v>0</v>
      </c>
      <c r="G94" s="517">
        <v>0</v>
      </c>
      <c r="H94" s="518">
        <v>0</v>
      </c>
      <c r="I94" s="517">
        <v>0</v>
      </c>
      <c r="J94" s="518">
        <v>0</v>
      </c>
      <c r="K94" s="517">
        <v>0</v>
      </c>
      <c r="L94" s="518">
        <v>0</v>
      </c>
      <c r="M94" s="517">
        <v>0</v>
      </c>
      <c r="N94" s="518">
        <v>0</v>
      </c>
      <c r="O94" s="517">
        <v>0</v>
      </c>
      <c r="P94" s="518">
        <v>0</v>
      </c>
      <c r="Q94" s="517">
        <v>0</v>
      </c>
      <c r="R94" s="518">
        <v>0</v>
      </c>
      <c r="S94" s="517">
        <v>0</v>
      </c>
      <c r="T94" s="518">
        <v>0</v>
      </c>
      <c r="U94" s="517">
        <v>0</v>
      </c>
      <c r="V94" s="518">
        <v>0</v>
      </c>
      <c r="W94" s="517">
        <v>1</v>
      </c>
      <c r="X94" s="518">
        <v>0.5</v>
      </c>
      <c r="Y94" s="430"/>
      <c r="Z94" s="773">
        <f t="shared" ref="Z94:Z96" si="27">AVERAGE(W94,S94,Q94,U94,O94)</f>
        <v>0.2</v>
      </c>
      <c r="AA94" s="685">
        <f t="shared" ref="AA94:AA96" si="28">AVERAGE(X94,T94,R94,V94,P94)</f>
        <v>0.1</v>
      </c>
      <c r="AB94" s="432"/>
      <c r="AC94" s="432"/>
    </row>
    <row r="95" spans="1:29" x14ac:dyDescent="0.2">
      <c r="A95" s="430"/>
      <c r="B95" s="283" t="s">
        <v>114</v>
      </c>
      <c r="C95" s="517">
        <v>0</v>
      </c>
      <c r="D95" s="518">
        <v>0</v>
      </c>
      <c r="E95" s="517">
        <v>2</v>
      </c>
      <c r="F95" s="518">
        <v>1</v>
      </c>
      <c r="G95" s="517">
        <v>3</v>
      </c>
      <c r="H95" s="518">
        <v>1.1000000000000001</v>
      </c>
      <c r="I95" s="517">
        <v>2</v>
      </c>
      <c r="J95" s="518">
        <v>0.6</v>
      </c>
      <c r="K95" s="517">
        <v>0</v>
      </c>
      <c r="L95" s="518">
        <v>0</v>
      </c>
      <c r="M95" s="517">
        <v>0</v>
      </c>
      <c r="N95" s="518">
        <v>0</v>
      </c>
      <c r="O95" s="517">
        <v>0</v>
      </c>
      <c r="P95" s="518">
        <v>0</v>
      </c>
      <c r="Q95" s="517">
        <v>0</v>
      </c>
      <c r="R95" s="518">
        <v>0</v>
      </c>
      <c r="S95" s="517">
        <v>0</v>
      </c>
      <c r="T95" s="518">
        <v>0</v>
      </c>
      <c r="U95" s="517">
        <v>0</v>
      </c>
      <c r="V95" s="518">
        <v>0</v>
      </c>
      <c r="W95" s="517">
        <v>0</v>
      </c>
      <c r="X95" s="518">
        <v>0</v>
      </c>
      <c r="Y95" s="430"/>
      <c r="Z95" s="773">
        <f t="shared" si="27"/>
        <v>0</v>
      </c>
      <c r="AA95" s="685">
        <f t="shared" si="28"/>
        <v>0</v>
      </c>
      <c r="AB95" s="1"/>
      <c r="AC95" s="1"/>
    </row>
    <row r="96" spans="1:29" ht="13.5" thickBot="1" x14ac:dyDescent="0.25">
      <c r="A96" s="430"/>
      <c r="B96" s="102" t="s">
        <v>137</v>
      </c>
      <c r="C96" s="1093">
        <v>0</v>
      </c>
      <c r="D96" s="1094">
        <v>0</v>
      </c>
      <c r="E96" s="1093">
        <v>0</v>
      </c>
      <c r="F96" s="1094">
        <v>0</v>
      </c>
      <c r="G96" s="1093">
        <v>0</v>
      </c>
      <c r="H96" s="1094">
        <v>0</v>
      </c>
      <c r="I96" s="1093">
        <v>0</v>
      </c>
      <c r="J96" s="1094">
        <v>0</v>
      </c>
      <c r="K96" s="1093">
        <v>0</v>
      </c>
      <c r="L96" s="1094">
        <v>0</v>
      </c>
      <c r="M96" s="1093">
        <v>0</v>
      </c>
      <c r="N96" s="1094">
        <v>0</v>
      </c>
      <c r="O96" s="1093">
        <v>0</v>
      </c>
      <c r="P96" s="1094">
        <v>0</v>
      </c>
      <c r="Q96" s="1093">
        <v>0</v>
      </c>
      <c r="R96" s="1094">
        <v>0</v>
      </c>
      <c r="S96" s="1093">
        <v>0</v>
      </c>
      <c r="T96" s="1094">
        <v>0</v>
      </c>
      <c r="U96" s="1093">
        <v>0</v>
      </c>
      <c r="V96" s="1094">
        <v>0</v>
      </c>
      <c r="W96" s="1093">
        <v>0</v>
      </c>
      <c r="X96" s="1094">
        <v>0</v>
      </c>
      <c r="Y96" s="430"/>
      <c r="Z96" s="1090">
        <f t="shared" si="27"/>
        <v>0</v>
      </c>
      <c r="AA96" s="1091">
        <f t="shared" si="28"/>
        <v>0</v>
      </c>
      <c r="AB96" s="1"/>
      <c r="AC96" s="22"/>
    </row>
    <row r="97" spans="1:29" ht="14.25" thickTop="1" thickBot="1" x14ac:dyDescent="0.25">
      <c r="A97" s="22"/>
      <c r="B97" s="1092" t="s">
        <v>183</v>
      </c>
      <c r="C97" s="517"/>
      <c r="D97" s="1096"/>
      <c r="E97" s="1097"/>
      <c r="F97" s="1095"/>
      <c r="G97" s="517"/>
      <c r="H97" s="1095"/>
      <c r="I97" s="517"/>
      <c r="J97" s="1095"/>
      <c r="K97" s="517"/>
      <c r="L97" s="1095"/>
      <c r="M97" s="517"/>
      <c r="N97" s="1096"/>
      <c r="O97" s="1097"/>
      <c r="P97" s="518"/>
      <c r="Q97" s="1097"/>
      <c r="R97" s="518"/>
      <c r="S97" s="1097"/>
      <c r="T97" s="518"/>
      <c r="U97" s="1097"/>
      <c r="V97" s="518"/>
      <c r="W97" s="1097"/>
      <c r="X97" s="518"/>
      <c r="Y97" s="22"/>
      <c r="Z97" s="773"/>
      <c r="AA97" s="1089"/>
      <c r="AB97" s="22"/>
      <c r="AC97" s="22"/>
    </row>
    <row r="98" spans="1:29" ht="17.25" thickTop="1" thickBot="1" x14ac:dyDescent="0.3">
      <c r="A98" s="521" t="s">
        <v>20</v>
      </c>
      <c r="B98" s="522"/>
      <c r="C98" s="1230" t="s">
        <v>31</v>
      </c>
      <c r="D98" s="1259"/>
      <c r="E98" s="1249" t="s">
        <v>110</v>
      </c>
      <c r="F98" s="1257"/>
      <c r="G98" s="1249" t="s">
        <v>111</v>
      </c>
      <c r="H98" s="1257"/>
      <c r="I98" s="1249" t="s">
        <v>128</v>
      </c>
      <c r="J98" s="1257"/>
      <c r="K98" s="1254" t="s">
        <v>129</v>
      </c>
      <c r="L98" s="1219"/>
      <c r="M98" s="1218" t="s">
        <v>169</v>
      </c>
      <c r="N98" s="1219"/>
      <c r="O98" s="1218" t="s">
        <v>161</v>
      </c>
      <c r="P98" s="1219"/>
      <c r="Q98" s="1218" t="s">
        <v>180</v>
      </c>
      <c r="R98" s="1219"/>
      <c r="S98" s="1218" t="s">
        <v>190</v>
      </c>
      <c r="T98" s="1219"/>
      <c r="U98" s="1218" t="s">
        <v>195</v>
      </c>
      <c r="V98" s="1219"/>
      <c r="W98" s="1218" t="s">
        <v>199</v>
      </c>
      <c r="X98" s="1219"/>
      <c r="Y98" s="625"/>
      <c r="Z98" s="1318"/>
      <c r="AA98" s="1319"/>
      <c r="AB98" s="22"/>
      <c r="AC98" s="1"/>
    </row>
    <row r="99" spans="1:29" x14ac:dyDescent="0.2">
      <c r="B99" s="524" t="s">
        <v>136</v>
      </c>
      <c r="C99" s="526"/>
      <c r="D99" s="527"/>
      <c r="E99" s="528"/>
      <c r="F99" s="529"/>
      <c r="G99" s="530"/>
      <c r="H99" s="243"/>
      <c r="I99" s="531"/>
      <c r="J99" s="532"/>
      <c r="K99" s="531"/>
      <c r="L99" s="547"/>
      <c r="M99" s="1038"/>
      <c r="N99" s="1039"/>
      <c r="O99" s="531"/>
      <c r="P99" s="547"/>
      <c r="Q99" s="531"/>
      <c r="R99" s="547"/>
      <c r="S99" s="203"/>
      <c r="T99" s="884"/>
      <c r="U99" s="531"/>
      <c r="V99" s="547"/>
      <c r="W99" s="531"/>
      <c r="X99" s="547"/>
      <c r="Y99" s="22"/>
      <c r="Z99" s="1055"/>
      <c r="AA99" s="1055"/>
      <c r="AB99" s="1"/>
      <c r="AC99" s="1"/>
    </row>
    <row r="100" spans="1:29" x14ac:dyDescent="0.2">
      <c r="A100" s="430"/>
      <c r="B100" s="534" t="s">
        <v>118</v>
      </c>
      <c r="C100" s="535"/>
      <c r="D100" s="536"/>
      <c r="E100" s="537"/>
      <c r="F100" s="538"/>
      <c r="G100" s="1262">
        <v>7</v>
      </c>
      <c r="H100" s="1263"/>
      <c r="I100" s="539"/>
      <c r="J100" s="540"/>
      <c r="K100" s="539"/>
      <c r="L100" s="547"/>
      <c r="M100" s="1043"/>
      <c r="N100" s="1044">
        <v>9.1999999999999993</v>
      </c>
      <c r="O100" s="539"/>
      <c r="P100" s="547"/>
      <c r="Q100" s="539"/>
      <c r="R100" s="547"/>
      <c r="S100" s="136"/>
      <c r="T100" s="1044">
        <v>9.15</v>
      </c>
      <c r="U100" s="539"/>
      <c r="V100" s="547"/>
      <c r="W100" s="539"/>
      <c r="X100" s="547"/>
      <c r="Y100" s="22"/>
      <c r="Z100" s="1055"/>
      <c r="AA100" s="1056"/>
      <c r="AB100" s="1"/>
      <c r="AC100" s="1"/>
    </row>
    <row r="101" spans="1:29" x14ac:dyDescent="0.2">
      <c r="A101" s="430"/>
      <c r="B101" s="542" t="s">
        <v>119</v>
      </c>
      <c r="C101" s="535"/>
      <c r="D101" s="536"/>
      <c r="E101" s="537"/>
      <c r="F101" s="538"/>
      <c r="G101" s="1262"/>
      <c r="H101" s="1263"/>
      <c r="I101" s="539"/>
      <c r="J101" s="540"/>
      <c r="K101" s="539"/>
      <c r="L101" s="547"/>
      <c r="M101" s="1043"/>
      <c r="N101" s="1044"/>
      <c r="O101" s="539"/>
      <c r="P101" s="547"/>
      <c r="Q101" s="539"/>
      <c r="R101" s="547"/>
      <c r="S101" s="136"/>
      <c r="T101" s="1044"/>
      <c r="U101" s="539"/>
      <c r="V101" s="547"/>
      <c r="W101" s="539"/>
      <c r="X101" s="547"/>
      <c r="Y101" s="22"/>
      <c r="Z101" s="1055"/>
      <c r="AA101" s="1056"/>
      <c r="AB101" s="1"/>
      <c r="AC101" s="1"/>
    </row>
    <row r="102" spans="1:29" x14ac:dyDescent="0.2">
      <c r="A102" s="430"/>
      <c r="B102" s="542" t="s">
        <v>120</v>
      </c>
      <c r="C102" s="535"/>
      <c r="D102" s="536"/>
      <c r="E102" s="537"/>
      <c r="F102" s="538"/>
      <c r="G102" s="1262">
        <v>1</v>
      </c>
      <c r="H102" s="1263"/>
      <c r="I102" s="539"/>
      <c r="J102" s="540"/>
      <c r="K102" s="539"/>
      <c r="L102" s="547"/>
      <c r="M102" s="1043"/>
      <c r="N102" s="1044">
        <v>0</v>
      </c>
      <c r="O102" s="539"/>
      <c r="P102" s="547"/>
      <c r="Q102" s="539"/>
      <c r="R102" s="547"/>
      <c r="S102" s="136"/>
      <c r="T102" s="1044">
        <v>0</v>
      </c>
      <c r="U102" s="539"/>
      <c r="V102" s="547"/>
      <c r="W102" s="539"/>
      <c r="X102" s="547"/>
      <c r="Y102" s="22"/>
      <c r="Z102" s="1055"/>
      <c r="AA102" s="1056"/>
      <c r="AB102" s="1"/>
      <c r="AC102" s="1"/>
    </row>
    <row r="103" spans="1:29" x14ac:dyDescent="0.2">
      <c r="A103" s="430"/>
      <c r="B103" s="534" t="s">
        <v>121</v>
      </c>
      <c r="C103" s="535"/>
      <c r="D103" s="536"/>
      <c r="E103" s="537"/>
      <c r="F103" s="538"/>
      <c r="G103" s="1262">
        <v>0</v>
      </c>
      <c r="H103" s="1263"/>
      <c r="I103" s="539"/>
      <c r="J103" s="540"/>
      <c r="K103" s="539"/>
      <c r="L103" s="547"/>
      <c r="M103" s="1043"/>
      <c r="N103" s="1044">
        <v>0</v>
      </c>
      <c r="O103" s="539"/>
      <c r="P103" s="547"/>
      <c r="Q103" s="539"/>
      <c r="R103" s="547"/>
      <c r="S103" s="136"/>
      <c r="T103" s="1044">
        <v>0</v>
      </c>
      <c r="U103" s="539"/>
      <c r="V103" s="547"/>
      <c r="W103" s="539"/>
      <c r="X103" s="547"/>
      <c r="Y103" s="22"/>
      <c r="Z103" s="1055"/>
      <c r="AA103" s="1056"/>
      <c r="AB103" s="1"/>
      <c r="AC103" s="1"/>
    </row>
    <row r="104" spans="1:29" x14ac:dyDescent="0.2">
      <c r="A104" s="430"/>
      <c r="B104" s="543" t="s">
        <v>122</v>
      </c>
      <c r="C104" s="535"/>
      <c r="D104" s="536"/>
      <c r="E104" s="537"/>
      <c r="F104" s="538"/>
      <c r="G104" s="1262">
        <v>7.3</v>
      </c>
      <c r="H104" s="1263"/>
      <c r="I104" s="539"/>
      <c r="J104" s="540"/>
      <c r="K104" s="539"/>
      <c r="L104" s="547"/>
      <c r="M104" s="1043"/>
      <c r="N104" s="1044">
        <v>1.5</v>
      </c>
      <c r="O104" s="539"/>
      <c r="P104" s="547"/>
      <c r="Q104" s="539"/>
      <c r="R104" s="547"/>
      <c r="S104" s="136"/>
      <c r="T104" s="1044">
        <v>1.1000000000000001</v>
      </c>
      <c r="U104" s="539"/>
      <c r="V104" s="547"/>
      <c r="W104" s="539"/>
      <c r="X104" s="547"/>
      <c r="Y104" s="22"/>
      <c r="Z104" s="1055"/>
      <c r="AA104" s="1056"/>
      <c r="AB104" s="1"/>
      <c r="AC104" s="1"/>
    </row>
    <row r="105" spans="1:29" x14ac:dyDescent="0.2">
      <c r="A105" s="430"/>
      <c r="B105" s="543" t="s">
        <v>123</v>
      </c>
      <c r="C105" s="535"/>
      <c r="D105" s="536"/>
      <c r="E105" s="537"/>
      <c r="F105" s="538"/>
      <c r="G105" s="1262">
        <v>15.3</v>
      </c>
      <c r="H105" s="1263"/>
      <c r="I105" s="539"/>
      <c r="J105" s="540"/>
      <c r="K105" s="539"/>
      <c r="L105" s="547"/>
      <c r="M105" s="1043"/>
      <c r="N105" s="1044">
        <f>SUM(N100:N104)</f>
        <v>10.7</v>
      </c>
      <c r="O105" s="539"/>
      <c r="P105" s="547"/>
      <c r="Q105" s="539"/>
      <c r="R105" s="547"/>
      <c r="S105" s="136"/>
      <c r="T105" s="1044">
        <f>SUM(T100:T104)</f>
        <v>10.25</v>
      </c>
      <c r="U105" s="539"/>
      <c r="V105" s="547"/>
      <c r="W105" s="539"/>
      <c r="X105" s="547"/>
      <c r="Y105" s="22"/>
      <c r="Z105" s="1055"/>
      <c r="AA105" s="1056"/>
      <c r="AB105" s="1"/>
      <c r="AC105" s="1"/>
    </row>
    <row r="106" spans="1:29" ht="13.5" thickBot="1" x14ac:dyDescent="0.25">
      <c r="A106" s="430"/>
      <c r="B106" s="544" t="s">
        <v>130</v>
      </c>
      <c r="C106" s="545"/>
      <c r="D106" s="546"/>
      <c r="E106" s="531"/>
      <c r="F106" s="547"/>
      <c r="G106" s="1314"/>
      <c r="H106" s="1315"/>
      <c r="I106" s="539"/>
      <c r="J106" s="540"/>
      <c r="K106" s="539"/>
      <c r="L106" s="547"/>
      <c r="M106" s="1043"/>
      <c r="N106" s="884"/>
      <c r="O106" s="539"/>
      <c r="P106" s="547"/>
      <c r="Q106" s="539"/>
      <c r="R106" s="547"/>
      <c r="S106" s="136"/>
      <c r="T106" s="884"/>
      <c r="U106" s="539"/>
      <c r="V106" s="547"/>
      <c r="W106" s="539"/>
      <c r="X106" s="547"/>
      <c r="Y106" s="22"/>
      <c r="Z106" s="1055"/>
      <c r="AA106" s="1056"/>
      <c r="AB106" s="1"/>
      <c r="AC106" s="1"/>
    </row>
    <row r="107" spans="1:29" x14ac:dyDescent="0.2">
      <c r="A107" s="430"/>
      <c r="B107" s="534" t="s">
        <v>124</v>
      </c>
      <c r="C107" s="548"/>
      <c r="D107" s="549"/>
      <c r="E107" s="550"/>
      <c r="F107" s="551"/>
      <c r="G107" s="1314">
        <v>405</v>
      </c>
      <c r="H107" s="1315"/>
      <c r="I107" s="539"/>
      <c r="J107" s="540"/>
      <c r="K107" s="539"/>
      <c r="L107" s="547"/>
      <c r="M107" s="1045"/>
      <c r="N107" s="1046">
        <v>740</v>
      </c>
      <c r="O107" s="539"/>
      <c r="P107" s="547"/>
      <c r="Q107" s="539"/>
      <c r="R107" s="547"/>
      <c r="S107" s="136"/>
      <c r="T107" s="1046">
        <v>954</v>
      </c>
      <c r="U107" s="539"/>
      <c r="V107" s="547"/>
      <c r="W107" s="539"/>
      <c r="X107" s="547"/>
      <c r="Y107" s="22"/>
      <c r="Z107" s="1055"/>
      <c r="AA107" s="1056"/>
      <c r="AB107" s="1"/>
      <c r="AC107" s="1"/>
    </row>
    <row r="108" spans="1:29" x14ac:dyDescent="0.2">
      <c r="A108" s="430"/>
      <c r="B108" s="543" t="s">
        <v>125</v>
      </c>
      <c r="C108" s="548"/>
      <c r="D108" s="549"/>
      <c r="E108" s="550"/>
      <c r="F108" s="551"/>
      <c r="G108" s="1314">
        <v>444</v>
      </c>
      <c r="H108" s="1315"/>
      <c r="I108" s="539"/>
      <c r="J108" s="540"/>
      <c r="K108" s="539"/>
      <c r="L108" s="547"/>
      <c r="M108" s="1045"/>
      <c r="N108" s="1046">
        <v>0</v>
      </c>
      <c r="O108" s="539"/>
      <c r="P108" s="547"/>
      <c r="Q108" s="539"/>
      <c r="R108" s="547"/>
      <c r="S108" s="136"/>
      <c r="T108" s="1046">
        <v>0</v>
      </c>
      <c r="U108" s="539"/>
      <c r="V108" s="547"/>
      <c r="W108" s="539"/>
      <c r="X108" s="547"/>
      <c r="Y108" s="22"/>
      <c r="Z108" s="1055"/>
      <c r="AA108" s="1056"/>
      <c r="AB108" s="1"/>
      <c r="AC108" s="1"/>
    </row>
    <row r="109" spans="1:29" x14ac:dyDescent="0.2">
      <c r="A109" s="430"/>
      <c r="B109" s="543" t="s">
        <v>126</v>
      </c>
      <c r="C109" s="548"/>
      <c r="D109" s="549"/>
      <c r="E109" s="550"/>
      <c r="F109" s="551"/>
      <c r="G109" s="1314">
        <v>1984</v>
      </c>
      <c r="H109" s="1315"/>
      <c r="I109" s="539"/>
      <c r="J109" s="540"/>
      <c r="K109" s="539"/>
      <c r="L109" s="547"/>
      <c r="M109" s="1045"/>
      <c r="N109" s="1046">
        <v>34</v>
      </c>
      <c r="O109" s="539"/>
      <c r="P109" s="547"/>
      <c r="Q109" s="539"/>
      <c r="R109" s="547"/>
      <c r="S109" s="136"/>
      <c r="T109" s="1046">
        <v>151</v>
      </c>
      <c r="U109" s="539"/>
      <c r="V109" s="547"/>
      <c r="W109" s="539"/>
      <c r="X109" s="547"/>
      <c r="Y109" s="22"/>
      <c r="Z109" s="1055"/>
      <c r="AA109" s="1056"/>
      <c r="AB109" s="1"/>
      <c r="AC109" s="1"/>
    </row>
    <row r="110" spans="1:29" x14ac:dyDescent="0.2">
      <c r="A110" s="430"/>
      <c r="B110" s="543" t="s">
        <v>135</v>
      </c>
      <c r="C110" s="548"/>
      <c r="D110" s="549"/>
      <c r="E110" s="550"/>
      <c r="F110" s="551"/>
      <c r="G110" s="1314">
        <v>2833</v>
      </c>
      <c r="H110" s="1315"/>
      <c r="I110" s="539"/>
      <c r="J110" s="540"/>
      <c r="K110" s="539"/>
      <c r="L110" s="547"/>
      <c r="M110" s="1045"/>
      <c r="N110" s="1046">
        <f>SUM(N107:N109)</f>
        <v>774</v>
      </c>
      <c r="O110" s="539"/>
      <c r="P110" s="547"/>
      <c r="Q110" s="539"/>
      <c r="R110" s="547"/>
      <c r="S110" s="136"/>
      <c r="T110" s="1046">
        <f>SUM(T107:T109)</f>
        <v>1105</v>
      </c>
      <c r="U110" s="539"/>
      <c r="V110" s="547"/>
      <c r="W110" s="539"/>
      <c r="X110" s="547"/>
      <c r="Y110" s="22"/>
      <c r="Z110" s="1055"/>
      <c r="AA110" s="1056"/>
      <c r="AB110" s="1"/>
      <c r="AC110" s="1"/>
    </row>
    <row r="111" spans="1:29" ht="13.5" thickBot="1" x14ac:dyDescent="0.25">
      <c r="A111" s="430"/>
      <c r="B111" s="544" t="s">
        <v>131</v>
      </c>
      <c r="C111" s="545"/>
      <c r="D111" s="546"/>
      <c r="E111" s="531"/>
      <c r="F111" s="547"/>
      <c r="G111" s="1316"/>
      <c r="H111" s="1317"/>
      <c r="I111" s="539"/>
      <c r="J111" s="540"/>
      <c r="K111" s="539"/>
      <c r="L111" s="547"/>
      <c r="M111" s="1047"/>
      <c r="N111" s="1044"/>
      <c r="O111" s="539"/>
      <c r="P111" s="547"/>
      <c r="Q111" s="539"/>
      <c r="R111" s="547"/>
      <c r="S111" s="136"/>
      <c r="T111" s="1044"/>
      <c r="U111" s="539"/>
      <c r="V111" s="547"/>
      <c r="W111" s="539"/>
      <c r="X111" s="547"/>
      <c r="Y111" s="22"/>
      <c r="Z111" s="1055"/>
      <c r="AA111" s="1056"/>
      <c r="AB111" s="22"/>
      <c r="AC111" s="22"/>
    </row>
    <row r="112" spans="1:29" x14ac:dyDescent="0.2">
      <c r="A112" s="430"/>
      <c r="B112" s="534" t="s">
        <v>132</v>
      </c>
      <c r="C112" s="552"/>
      <c r="D112" s="553"/>
      <c r="E112" s="554"/>
      <c r="F112" s="555"/>
      <c r="G112" s="1316">
        <v>57.86</v>
      </c>
      <c r="H112" s="1317"/>
      <c r="I112" s="556"/>
      <c r="J112" s="557"/>
      <c r="K112" s="556"/>
      <c r="L112" s="555"/>
      <c r="M112" s="1047"/>
      <c r="N112" s="888">
        <f>N107/N100</f>
        <v>80.434782608695656</v>
      </c>
      <c r="O112" s="556"/>
      <c r="P112" s="555"/>
      <c r="Q112" s="556"/>
      <c r="R112" s="555"/>
      <c r="S112" s="774"/>
      <c r="T112" s="888">
        <f>T107/T100</f>
        <v>104.26229508196721</v>
      </c>
      <c r="U112" s="556"/>
      <c r="V112" s="555"/>
      <c r="W112" s="556"/>
      <c r="X112" s="555"/>
      <c r="Y112" s="626"/>
      <c r="Z112" s="1057"/>
      <c r="AA112" s="1056"/>
      <c r="AB112" s="432"/>
      <c r="AC112" s="432"/>
    </row>
    <row r="113" spans="1:29" x14ac:dyDescent="0.2">
      <c r="A113" s="430"/>
      <c r="B113" s="543" t="s">
        <v>133</v>
      </c>
      <c r="C113" s="552"/>
      <c r="D113" s="553"/>
      <c r="E113" s="554"/>
      <c r="F113" s="555"/>
      <c r="G113" s="1264">
        <v>0</v>
      </c>
      <c r="H113" s="1265"/>
      <c r="I113" s="556"/>
      <c r="J113" s="557"/>
      <c r="K113" s="556"/>
      <c r="L113" s="555"/>
      <c r="M113" s="1047"/>
      <c r="N113" s="888">
        <v>0</v>
      </c>
      <c r="O113" s="556"/>
      <c r="P113" s="555"/>
      <c r="Q113" s="556"/>
      <c r="R113" s="555"/>
      <c r="S113" s="774"/>
      <c r="T113" s="888">
        <v>0</v>
      </c>
      <c r="U113" s="556"/>
      <c r="V113" s="555"/>
      <c r="W113" s="556"/>
      <c r="X113" s="555"/>
      <c r="Y113" s="626"/>
      <c r="Z113" s="1057"/>
      <c r="AA113" s="1056"/>
      <c r="AB113" s="432"/>
      <c r="AC113" s="432"/>
    </row>
    <row r="114" spans="1:29" x14ac:dyDescent="0.2">
      <c r="A114" s="430"/>
      <c r="B114" s="543" t="s">
        <v>134</v>
      </c>
      <c r="C114" s="552"/>
      <c r="D114" s="553"/>
      <c r="E114" s="554"/>
      <c r="F114" s="555"/>
      <c r="G114" s="1316">
        <v>271.77999999999997</v>
      </c>
      <c r="H114" s="1317"/>
      <c r="I114" s="556"/>
      <c r="J114" s="557"/>
      <c r="K114" s="556"/>
      <c r="L114" s="555"/>
      <c r="M114" s="1047"/>
      <c r="N114" s="888">
        <f>N109/N104</f>
        <v>22.666666666666668</v>
      </c>
      <c r="O114" s="556"/>
      <c r="P114" s="555"/>
      <c r="Q114" s="556"/>
      <c r="R114" s="555"/>
      <c r="S114" s="774"/>
      <c r="T114" s="888">
        <f>T109/T104</f>
        <v>137.27272727272725</v>
      </c>
      <c r="U114" s="556"/>
      <c r="V114" s="555"/>
      <c r="W114" s="556"/>
      <c r="X114" s="555"/>
      <c r="Y114" s="626"/>
      <c r="Z114" s="1057"/>
      <c r="AA114" s="1056"/>
      <c r="AB114" s="432"/>
      <c r="AC114" s="432"/>
    </row>
    <row r="115" spans="1:29" ht="13.5" thickBot="1" x14ac:dyDescent="0.25">
      <c r="A115" s="430"/>
      <c r="B115" s="559" t="s">
        <v>127</v>
      </c>
      <c r="C115" s="560"/>
      <c r="D115" s="561"/>
      <c r="E115" s="562"/>
      <c r="F115" s="563"/>
      <c r="G115" s="1312">
        <v>185.16</v>
      </c>
      <c r="H115" s="1313"/>
      <c r="I115" s="562"/>
      <c r="J115" s="563"/>
      <c r="K115" s="562"/>
      <c r="L115" s="563"/>
      <c r="M115" s="1052"/>
      <c r="N115" s="889">
        <f>N110/N105</f>
        <v>72.336448598130843</v>
      </c>
      <c r="O115" s="562"/>
      <c r="P115" s="563"/>
      <c r="Q115" s="562"/>
      <c r="R115" s="563"/>
      <c r="S115" s="1190"/>
      <c r="T115" s="889">
        <f>T110/T105</f>
        <v>107.80487804878049</v>
      </c>
      <c r="U115" s="562"/>
      <c r="V115" s="563"/>
      <c r="W115" s="562"/>
      <c r="X115" s="563"/>
      <c r="Y115" s="626"/>
      <c r="Z115" s="1057"/>
      <c r="AA115" s="1056"/>
      <c r="AB115" s="432"/>
      <c r="AC115" s="432"/>
    </row>
    <row r="116" spans="1:29" ht="13.5" thickTop="1" x14ac:dyDescent="0.2">
      <c r="B116" s="1" t="str">
        <f>'ED Sum'!B117</f>
        <v>*Note: For the 2009 collection cycle and later, Instructional FTE was defined according to the national Delaware Study of Instructional Costs and Productivity</v>
      </c>
      <c r="Z116" s="680"/>
      <c r="AA116" s="680"/>
    </row>
    <row r="117" spans="1:29" x14ac:dyDescent="0.2">
      <c r="Z117" s="680"/>
      <c r="AA117" s="680"/>
    </row>
    <row r="118" spans="1:29" x14ac:dyDescent="0.2">
      <c r="Z118" s="680"/>
      <c r="AA118" s="680"/>
    </row>
    <row r="119" spans="1:29" x14ac:dyDescent="0.2">
      <c r="Z119" s="680"/>
      <c r="AA119" s="680"/>
    </row>
    <row r="120" spans="1:29" x14ac:dyDescent="0.2">
      <c r="Z120" s="680"/>
      <c r="AA120" s="680"/>
    </row>
    <row r="121" spans="1:29" x14ac:dyDescent="0.2">
      <c r="Z121" s="680"/>
      <c r="AA121" s="680"/>
    </row>
    <row r="122" spans="1:29" x14ac:dyDescent="0.2">
      <c r="Z122" s="680"/>
      <c r="AA122" s="680"/>
    </row>
    <row r="123" spans="1:29" x14ac:dyDescent="0.2">
      <c r="Z123" s="680"/>
      <c r="AA123" s="680"/>
    </row>
    <row r="124" spans="1:29" x14ac:dyDescent="0.2">
      <c r="Z124" s="680"/>
      <c r="AA124" s="680"/>
    </row>
    <row r="125" spans="1:29" x14ac:dyDescent="0.2">
      <c r="Z125" s="680"/>
      <c r="AA125" s="680"/>
    </row>
    <row r="126" spans="1:29" x14ac:dyDescent="0.2">
      <c r="Z126" s="680"/>
      <c r="AA126" s="680"/>
    </row>
    <row r="127" spans="1:29" x14ac:dyDescent="0.2">
      <c r="Z127" s="680"/>
      <c r="AA127" s="680"/>
    </row>
    <row r="128" spans="1:29" x14ac:dyDescent="0.2">
      <c r="Z128" s="680"/>
      <c r="AA128" s="680"/>
    </row>
  </sheetData>
  <mergeCells count="116">
    <mergeCell ref="W7:X7"/>
    <mergeCell ref="W23:X23"/>
    <mergeCell ref="W31:X31"/>
    <mergeCell ref="W34:X34"/>
    <mergeCell ref="W37:X37"/>
    <mergeCell ref="W62:X62"/>
    <mergeCell ref="W92:X92"/>
    <mergeCell ref="W98:X98"/>
    <mergeCell ref="Q34:R34"/>
    <mergeCell ref="Q37:R37"/>
    <mergeCell ref="Q62:R62"/>
    <mergeCell ref="U34:V34"/>
    <mergeCell ref="U37:V37"/>
    <mergeCell ref="U62:V62"/>
    <mergeCell ref="S7:T7"/>
    <mergeCell ref="S23:T23"/>
    <mergeCell ref="S31:T31"/>
    <mergeCell ref="S34:T34"/>
    <mergeCell ref="S37:T37"/>
    <mergeCell ref="S62:T62"/>
    <mergeCell ref="C98:D98"/>
    <mergeCell ref="E98:F98"/>
    <mergeCell ref="M98:N98"/>
    <mergeCell ref="K92:L92"/>
    <mergeCell ref="C92:D92"/>
    <mergeCell ref="E92:F92"/>
    <mergeCell ref="G92:H92"/>
    <mergeCell ref="I92:J92"/>
    <mergeCell ref="Q92:R92"/>
    <mergeCell ref="Q98:R98"/>
    <mergeCell ref="K98:L98"/>
    <mergeCell ref="G100:H100"/>
    <mergeCell ref="G108:H108"/>
    <mergeCell ref="G104:H104"/>
    <mergeCell ref="G105:H105"/>
    <mergeCell ref="G98:H98"/>
    <mergeCell ref="G103:H103"/>
    <mergeCell ref="M92:N92"/>
    <mergeCell ref="Z98:AA98"/>
    <mergeCell ref="I98:J98"/>
    <mergeCell ref="O92:P92"/>
    <mergeCell ref="O98:P98"/>
    <mergeCell ref="Z92:AA92"/>
    <mergeCell ref="U92:V92"/>
    <mergeCell ref="U98:V98"/>
    <mergeCell ref="S92:T92"/>
    <mergeCell ref="S98:T98"/>
    <mergeCell ref="G115:H115"/>
    <mergeCell ref="G101:H101"/>
    <mergeCell ref="G102:H102"/>
    <mergeCell ref="G109:H109"/>
    <mergeCell ref="G110:H110"/>
    <mergeCell ref="G114:H114"/>
    <mergeCell ref="G111:H111"/>
    <mergeCell ref="G112:H112"/>
    <mergeCell ref="G106:H106"/>
    <mergeCell ref="G107:H107"/>
    <mergeCell ref="G113:H113"/>
    <mergeCell ref="K7:L7"/>
    <mergeCell ref="K23:L23"/>
    <mergeCell ref="K37:L37"/>
    <mergeCell ref="K62:L62"/>
    <mergeCell ref="K34:L34"/>
    <mergeCell ref="K31:L31"/>
    <mergeCell ref="C34:D34"/>
    <mergeCell ref="E32:F32"/>
    <mergeCell ref="C31:D31"/>
    <mergeCell ref="E31:F31"/>
    <mergeCell ref="E33:F33"/>
    <mergeCell ref="E34:F34"/>
    <mergeCell ref="C33:D33"/>
    <mergeCell ref="C32:D32"/>
    <mergeCell ref="C37:D37"/>
    <mergeCell ref="E37:F37"/>
    <mergeCell ref="G37:H37"/>
    <mergeCell ref="I37:J37"/>
    <mergeCell ref="G31:H31"/>
    <mergeCell ref="I31:J31"/>
    <mergeCell ref="C62:D62"/>
    <mergeCell ref="E62:F62"/>
    <mergeCell ref="G62:H62"/>
    <mergeCell ref="I62:J62"/>
    <mergeCell ref="G7:H7"/>
    <mergeCell ref="I7:J7"/>
    <mergeCell ref="G32:H32"/>
    <mergeCell ref="I34:J34"/>
    <mergeCell ref="G33:H33"/>
    <mergeCell ref="G34:H34"/>
    <mergeCell ref="C23:D23"/>
    <mergeCell ref="E23:F23"/>
    <mergeCell ref="G23:H23"/>
    <mergeCell ref="I23:J23"/>
    <mergeCell ref="O31:P31"/>
    <mergeCell ref="O34:P34"/>
    <mergeCell ref="O37:P37"/>
    <mergeCell ref="O62:P62"/>
    <mergeCell ref="Z62:AA62"/>
    <mergeCell ref="Z34:AA34"/>
    <mergeCell ref="M7:N7"/>
    <mergeCell ref="M23:N23"/>
    <mergeCell ref="M31:N31"/>
    <mergeCell ref="M34:N34"/>
    <mergeCell ref="M37:N37"/>
    <mergeCell ref="M62:N62"/>
    <mergeCell ref="O7:P7"/>
    <mergeCell ref="O23:P23"/>
    <mergeCell ref="Z31:AA31"/>
    <mergeCell ref="Z7:AA7"/>
    <mergeCell ref="Z23:AA23"/>
    <mergeCell ref="Z37:AA37"/>
    <mergeCell ref="Q7:R7"/>
    <mergeCell ref="Q23:R23"/>
    <mergeCell ref="Q31:R31"/>
    <mergeCell ref="U7:V7"/>
    <mergeCell ref="U23:V23"/>
    <mergeCell ref="U31:V31"/>
  </mergeCells>
  <phoneticPr fontId="12" type="noConversion"/>
  <printOptions horizontalCentered="1"/>
  <pageMargins left="0.45" right="0.41" top="0.54" bottom="0.73" header="0.5" footer="0.5"/>
  <pageSetup scale="66" orientation="landscape" r:id="rId1"/>
  <headerFooter alignWithMargins="0">
    <oddFooter>&amp;R&amp;P of &amp;N
&amp;D</oddFooter>
  </headerFooter>
  <rowBreaks count="1" manualBreakCount="1">
    <brk id="60" max="16" man="1"/>
  </rowBreaks>
  <ignoredErrors>
    <ignoredError sqref="Q72:Q91 U72:U8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0"/>
  <sheetViews>
    <sheetView view="pageBreakPreview" zoomScaleNormal="75" zoomScaleSheetLayoutView="100" workbookViewId="0">
      <pane xSplit="2" ySplit="1" topLeftCell="C2" activePane="bottomRight" state="frozen"/>
      <selection activeCell="AD88" sqref="AD88"/>
      <selection pane="topRight" activeCell="AD88" sqref="AD88"/>
      <selection pane="bottomLeft" activeCell="AD88" sqref="AD88"/>
      <selection pane="bottomRight" activeCell="AD88" sqref="AD88"/>
    </sheetView>
  </sheetViews>
  <sheetFormatPr defaultRowHeight="12.75" x14ac:dyDescent="0.2"/>
  <cols>
    <col min="1" max="1" width="3.28515625" customWidth="1"/>
    <col min="2" max="2" width="34.140625" customWidth="1"/>
    <col min="3" max="3" width="7.7109375" hidden="1" customWidth="1"/>
    <col min="4" max="4" width="10.42578125" hidden="1" customWidth="1"/>
    <col min="5" max="5" width="7.7109375" hidden="1" customWidth="1"/>
    <col min="6" max="6" width="10.42578125" hidden="1" customWidth="1"/>
    <col min="7" max="7" width="7.7109375" hidden="1" customWidth="1"/>
    <col min="8" max="8" width="10.42578125" hidden="1" customWidth="1"/>
    <col min="9" max="9" width="7.7109375" hidden="1" customWidth="1"/>
    <col min="10" max="10" width="11.42578125" hidden="1" customWidth="1"/>
    <col min="11" max="11" width="7.7109375" hidden="1" customWidth="1"/>
    <col min="12" max="12" width="12.140625" hidden="1" customWidth="1"/>
    <col min="13" max="13" width="7.7109375" hidden="1" customWidth="1"/>
    <col min="14" max="14" width="12.140625" hidden="1" customWidth="1"/>
    <col min="15" max="15" width="7.7109375" customWidth="1"/>
    <col min="16" max="16" width="11.28515625" customWidth="1"/>
    <col min="17" max="17" width="7.7109375" customWidth="1"/>
    <col min="18" max="18" width="12.140625" bestFit="1" customWidth="1"/>
    <col min="19" max="19" width="7.7109375" customWidth="1"/>
    <col min="20" max="20" width="12.140625" bestFit="1" customWidth="1"/>
    <col min="21" max="21" width="7.7109375" customWidth="1"/>
    <col min="22" max="22" width="12.140625" bestFit="1" customWidth="1"/>
    <col min="23" max="23" width="7.7109375" customWidth="1"/>
    <col min="24" max="24" width="12.140625" bestFit="1" customWidth="1"/>
    <col min="25" max="25" width="7.7109375" customWidth="1"/>
    <col min="26" max="26" width="12.140625" bestFit="1" customWidth="1"/>
    <col min="27" max="27" width="4.42578125" customWidth="1"/>
    <col min="29" max="29" width="10.7109375" customWidth="1"/>
  </cols>
  <sheetData>
    <row r="1" spans="1:29" ht="18" x14ac:dyDescent="0.25">
      <c r="A1" s="694" t="str">
        <f>Dean_Ed!A1</f>
        <v>Department Profile Report - FY 2015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6"/>
      <c r="V1" s="696"/>
      <c r="W1" s="696"/>
      <c r="X1" s="696"/>
      <c r="Y1" s="696"/>
      <c r="Z1" s="696"/>
      <c r="AA1" s="696"/>
      <c r="AB1" s="696"/>
      <c r="AC1" s="696"/>
    </row>
    <row r="2" spans="1:29" x14ac:dyDescent="0.2">
      <c r="A2" s="1"/>
      <c r="B2" s="1"/>
      <c r="E2" s="203"/>
      <c r="F2" s="203"/>
      <c r="I2" s="203"/>
      <c r="J2" s="203"/>
    </row>
    <row r="3" spans="1:29" x14ac:dyDescent="0.2">
      <c r="A3" s="3" t="s">
        <v>204</v>
      </c>
      <c r="B3" s="1"/>
      <c r="E3" s="203"/>
      <c r="F3" s="203"/>
      <c r="I3" s="203"/>
      <c r="J3" s="203"/>
    </row>
    <row r="4" spans="1:29" x14ac:dyDescent="0.2">
      <c r="B4" s="1"/>
      <c r="D4" s="203" t="s">
        <v>188</v>
      </c>
      <c r="E4" s="203"/>
      <c r="F4" s="203"/>
      <c r="I4" s="203"/>
      <c r="J4" s="203"/>
    </row>
    <row r="5" spans="1:29" x14ac:dyDescent="0.2">
      <c r="A5" s="3" t="s">
        <v>54</v>
      </c>
      <c r="B5" s="1"/>
      <c r="E5" s="203"/>
      <c r="F5" s="203"/>
      <c r="I5" s="203"/>
      <c r="J5" s="203"/>
    </row>
    <row r="6" spans="1:29" ht="6.75" customHeight="1" thickBot="1" x14ac:dyDescent="0.25">
      <c r="B6" s="1"/>
      <c r="E6" s="203"/>
      <c r="F6" s="203"/>
      <c r="J6" s="203"/>
    </row>
    <row r="7" spans="1:29" ht="13.5" thickTop="1" x14ac:dyDescent="0.2">
      <c r="A7" s="1"/>
      <c r="B7" s="42"/>
      <c r="C7" s="1281" t="s">
        <v>28</v>
      </c>
      <c r="D7" s="1279"/>
      <c r="E7" s="1278" t="s">
        <v>29</v>
      </c>
      <c r="F7" s="1278"/>
      <c r="G7" s="1281" t="s">
        <v>89</v>
      </c>
      <c r="H7" s="1279"/>
      <c r="I7" s="1278" t="s">
        <v>99</v>
      </c>
      <c r="J7" s="1278"/>
      <c r="K7" s="1281" t="s">
        <v>101</v>
      </c>
      <c r="L7" s="1278"/>
      <c r="M7" s="1281" t="s">
        <v>106</v>
      </c>
      <c r="N7" s="1279"/>
      <c r="O7" s="1278" t="s">
        <v>155</v>
      </c>
      <c r="P7" s="1279"/>
      <c r="Q7" s="1278" t="s">
        <v>160</v>
      </c>
      <c r="R7" s="1279"/>
      <c r="S7" s="1278" t="s">
        <v>179</v>
      </c>
      <c r="T7" s="1279"/>
      <c r="U7" s="1278" t="s">
        <v>189</v>
      </c>
      <c r="V7" s="1279"/>
      <c r="W7" s="1278" t="s">
        <v>194</v>
      </c>
      <c r="X7" s="1279"/>
      <c r="Y7" s="1278" t="s">
        <v>198</v>
      </c>
      <c r="Z7" s="1279"/>
      <c r="AB7" s="1348" t="s">
        <v>142</v>
      </c>
      <c r="AC7" s="1349"/>
    </row>
    <row r="8" spans="1:29" x14ac:dyDescent="0.2">
      <c r="A8" s="1"/>
      <c r="B8" s="43"/>
      <c r="C8" s="253" t="s">
        <v>0</v>
      </c>
      <c r="D8" s="337" t="s">
        <v>1</v>
      </c>
      <c r="E8" s="205" t="s">
        <v>0</v>
      </c>
      <c r="F8" s="387" t="s">
        <v>1</v>
      </c>
      <c r="G8" s="253" t="s">
        <v>0</v>
      </c>
      <c r="H8" s="337" t="s">
        <v>1</v>
      </c>
      <c r="I8" s="205" t="s">
        <v>0</v>
      </c>
      <c r="J8" s="387" t="s">
        <v>1</v>
      </c>
      <c r="K8" s="253" t="s">
        <v>0</v>
      </c>
      <c r="L8" s="387" t="s">
        <v>1</v>
      </c>
      <c r="M8" s="253" t="s">
        <v>0</v>
      </c>
      <c r="N8" s="337" t="s">
        <v>1</v>
      </c>
      <c r="O8" s="205" t="s">
        <v>0</v>
      </c>
      <c r="P8" s="337" t="s">
        <v>1</v>
      </c>
      <c r="Q8" s="205" t="s">
        <v>0</v>
      </c>
      <c r="R8" s="337" t="s">
        <v>1</v>
      </c>
      <c r="S8" s="205" t="s">
        <v>0</v>
      </c>
      <c r="T8" s="337" t="s">
        <v>1</v>
      </c>
      <c r="U8" s="205" t="s">
        <v>0</v>
      </c>
      <c r="V8" s="337" t="s">
        <v>1</v>
      </c>
      <c r="W8" s="205" t="s">
        <v>0</v>
      </c>
      <c r="X8" s="337" t="s">
        <v>1</v>
      </c>
      <c r="Y8" s="205" t="s">
        <v>0</v>
      </c>
      <c r="Z8" s="337" t="s">
        <v>1</v>
      </c>
      <c r="AB8" s="645" t="s">
        <v>0</v>
      </c>
      <c r="AC8" s="646" t="s">
        <v>1</v>
      </c>
    </row>
    <row r="9" spans="1:29" ht="13.5" thickBot="1" x14ac:dyDescent="0.25">
      <c r="A9" s="1"/>
      <c r="B9" s="44"/>
      <c r="C9" s="254" t="s">
        <v>2</v>
      </c>
      <c r="D9" s="354" t="s">
        <v>3</v>
      </c>
      <c r="E9" s="336" t="s">
        <v>2</v>
      </c>
      <c r="F9" s="373" t="s">
        <v>3</v>
      </c>
      <c r="G9" s="254" t="s">
        <v>2</v>
      </c>
      <c r="H9" s="354" t="s">
        <v>3</v>
      </c>
      <c r="I9" s="336" t="s">
        <v>2</v>
      </c>
      <c r="J9" s="373" t="s">
        <v>3</v>
      </c>
      <c r="K9" s="254" t="s">
        <v>2</v>
      </c>
      <c r="L9" s="373" t="s">
        <v>3</v>
      </c>
      <c r="M9" s="254" t="s">
        <v>2</v>
      </c>
      <c r="N9" s="354" t="s">
        <v>3</v>
      </c>
      <c r="O9" s="336" t="s">
        <v>2</v>
      </c>
      <c r="P9" s="354" t="s">
        <v>3</v>
      </c>
      <c r="Q9" s="336" t="s">
        <v>2</v>
      </c>
      <c r="R9" s="354" t="s">
        <v>3</v>
      </c>
      <c r="S9" s="336" t="s">
        <v>2</v>
      </c>
      <c r="T9" s="354" t="s">
        <v>3</v>
      </c>
      <c r="U9" s="336" t="s">
        <v>2</v>
      </c>
      <c r="V9" s="354" t="s">
        <v>3</v>
      </c>
      <c r="W9" s="336" t="s">
        <v>2</v>
      </c>
      <c r="X9" s="354" t="s">
        <v>3</v>
      </c>
      <c r="Y9" s="336" t="s">
        <v>2</v>
      </c>
      <c r="Z9" s="354" t="s">
        <v>3</v>
      </c>
      <c r="AB9" s="647" t="s">
        <v>2</v>
      </c>
      <c r="AC9" s="648" t="s">
        <v>3</v>
      </c>
    </row>
    <row r="10" spans="1:29" x14ac:dyDescent="0.2">
      <c r="A10" s="1"/>
      <c r="B10" s="45" t="s">
        <v>4</v>
      </c>
      <c r="C10" s="255"/>
      <c r="D10" s="122"/>
      <c r="E10" s="121"/>
      <c r="F10" s="250"/>
      <c r="G10" s="255"/>
      <c r="H10" s="122"/>
      <c r="I10" s="121"/>
      <c r="J10" s="250"/>
      <c r="K10" s="255"/>
      <c r="L10" s="250"/>
      <c r="M10" s="255"/>
      <c r="N10" s="122"/>
      <c r="O10" s="121"/>
      <c r="P10" s="122"/>
      <c r="Q10" s="121"/>
      <c r="R10" s="122"/>
      <c r="S10" s="121"/>
      <c r="T10" s="122"/>
      <c r="U10" s="121"/>
      <c r="V10" s="122"/>
      <c r="W10" s="121"/>
      <c r="X10" s="122"/>
      <c r="Y10" s="121"/>
      <c r="Z10" s="122"/>
      <c r="AB10" s="616"/>
      <c r="AC10" s="617"/>
    </row>
    <row r="11" spans="1:29" x14ac:dyDescent="0.2">
      <c r="A11" s="1"/>
      <c r="B11" s="326" t="s">
        <v>44</v>
      </c>
      <c r="C11" s="118"/>
      <c r="D11" s="119"/>
      <c r="E11" s="120"/>
      <c r="F11" s="374"/>
      <c r="G11" s="118"/>
      <c r="H11" s="119"/>
      <c r="I11" s="120"/>
      <c r="J11" s="374"/>
      <c r="K11" s="118"/>
      <c r="L11" s="374"/>
      <c r="M11" s="118"/>
      <c r="N11" s="119"/>
      <c r="O11" s="120"/>
      <c r="P11" s="119"/>
      <c r="Q11" s="120"/>
      <c r="R11" s="119"/>
      <c r="S11" s="120"/>
      <c r="T11" s="119"/>
      <c r="U11" s="120"/>
      <c r="V11" s="119"/>
      <c r="W11" s="120"/>
      <c r="X11" s="119"/>
      <c r="Y11" s="120"/>
      <c r="Z11" s="119"/>
      <c r="AB11" s="618"/>
      <c r="AC11" s="619"/>
    </row>
    <row r="12" spans="1:29" x14ac:dyDescent="0.2">
      <c r="A12" s="1"/>
      <c r="B12" s="47" t="s">
        <v>5</v>
      </c>
      <c r="C12" s="130">
        <v>39</v>
      </c>
      <c r="D12" s="323">
        <v>14</v>
      </c>
      <c r="E12" s="130">
        <v>49</v>
      </c>
      <c r="F12" s="323">
        <v>24</v>
      </c>
      <c r="G12" s="130">
        <v>35</v>
      </c>
      <c r="H12" s="360">
        <v>11</v>
      </c>
      <c r="I12" s="323">
        <v>28</v>
      </c>
      <c r="J12" s="376">
        <v>17</v>
      </c>
      <c r="K12" s="130">
        <v>33</v>
      </c>
      <c r="L12" s="376">
        <v>11</v>
      </c>
      <c r="M12" s="130">
        <v>24</v>
      </c>
      <c r="N12" s="355">
        <v>5</v>
      </c>
      <c r="O12" s="323">
        <v>29</v>
      </c>
      <c r="P12" s="355">
        <v>14</v>
      </c>
      <c r="Q12" s="323">
        <v>28</v>
      </c>
      <c r="R12" s="355">
        <v>12</v>
      </c>
      <c r="S12" s="323">
        <v>25</v>
      </c>
      <c r="T12" s="355">
        <v>12</v>
      </c>
      <c r="U12" s="323">
        <v>26</v>
      </c>
      <c r="V12" s="355">
        <v>6</v>
      </c>
      <c r="W12" s="323">
        <v>33</v>
      </c>
      <c r="X12" s="355">
        <v>6</v>
      </c>
      <c r="Y12" s="323">
        <v>29</v>
      </c>
      <c r="Z12" s="1158"/>
      <c r="AB12" s="658">
        <f>AVERAGE(Y12,W12,U12,S12,Q12)</f>
        <v>28.2</v>
      </c>
      <c r="AC12" s="659">
        <f t="shared" ref="AC12:AC15" si="0">AVERAGE(Z12,X12,V12,T12,R12)</f>
        <v>9</v>
      </c>
    </row>
    <row r="13" spans="1:29" x14ac:dyDescent="0.2">
      <c r="A13" s="1"/>
      <c r="B13" s="70" t="s">
        <v>6</v>
      </c>
      <c r="C13" s="130">
        <v>6</v>
      </c>
      <c r="D13" s="323">
        <v>0</v>
      </c>
      <c r="E13" s="130">
        <v>8</v>
      </c>
      <c r="F13" s="323">
        <v>0</v>
      </c>
      <c r="G13" s="130">
        <v>10</v>
      </c>
      <c r="H13" s="360">
        <v>3</v>
      </c>
      <c r="I13" s="323">
        <v>6</v>
      </c>
      <c r="J13" s="376">
        <v>2</v>
      </c>
      <c r="K13" s="130">
        <v>3</v>
      </c>
      <c r="L13" s="376">
        <v>0</v>
      </c>
      <c r="M13" s="130">
        <v>5</v>
      </c>
      <c r="N13" s="355">
        <v>0</v>
      </c>
      <c r="O13" s="323">
        <v>4</v>
      </c>
      <c r="P13" s="355">
        <v>0</v>
      </c>
      <c r="Q13" s="323">
        <v>3</v>
      </c>
      <c r="R13" s="355">
        <v>1</v>
      </c>
      <c r="S13" s="323">
        <v>4</v>
      </c>
      <c r="T13" s="355">
        <v>1</v>
      </c>
      <c r="U13" s="323">
        <v>3</v>
      </c>
      <c r="V13" s="355">
        <v>0</v>
      </c>
      <c r="W13" s="323">
        <v>3</v>
      </c>
      <c r="X13" s="355">
        <v>0</v>
      </c>
      <c r="Y13" s="323">
        <v>5</v>
      </c>
      <c r="Z13" s="1158"/>
      <c r="AB13" s="658">
        <f t="shared" ref="AB13:AB15" si="1">AVERAGE(Y13,W13,U13,S13,Q13)</f>
        <v>3.6</v>
      </c>
      <c r="AC13" s="659">
        <f t="shared" si="0"/>
        <v>0.5</v>
      </c>
    </row>
    <row r="14" spans="1:29" x14ac:dyDescent="0.2">
      <c r="A14" s="1"/>
      <c r="B14" s="326" t="s">
        <v>202</v>
      </c>
      <c r="C14" s="124"/>
      <c r="D14" s="442"/>
      <c r="E14" s="130"/>
      <c r="F14" s="442"/>
      <c r="G14" s="124"/>
      <c r="H14" s="1211"/>
      <c r="I14" s="126"/>
      <c r="J14" s="422"/>
      <c r="K14" s="124"/>
      <c r="L14" s="422"/>
      <c r="M14" s="124"/>
      <c r="N14" s="423"/>
      <c r="O14" s="126"/>
      <c r="P14" s="423"/>
      <c r="Q14" s="126"/>
      <c r="R14" s="423"/>
      <c r="S14" s="126"/>
      <c r="T14" s="423"/>
      <c r="U14" s="126"/>
      <c r="V14" s="423"/>
      <c r="W14" s="126"/>
      <c r="X14" s="423"/>
      <c r="Y14" s="126"/>
      <c r="Z14" s="1166"/>
      <c r="AB14" s="658"/>
      <c r="AC14" s="659"/>
    </row>
    <row r="15" spans="1:29" x14ac:dyDescent="0.2">
      <c r="A15" s="1"/>
      <c r="B15" s="70" t="s">
        <v>193</v>
      </c>
      <c r="C15" s="709"/>
      <c r="D15" s="710"/>
      <c r="E15" s="433"/>
      <c r="F15" s="710"/>
      <c r="G15" s="709"/>
      <c r="H15" s="711"/>
      <c r="I15" s="712"/>
      <c r="J15" s="713"/>
      <c r="K15" s="709"/>
      <c r="L15" s="713"/>
      <c r="M15" s="124">
        <v>0</v>
      </c>
      <c r="N15" s="423">
        <v>0</v>
      </c>
      <c r="O15" s="126">
        <v>0</v>
      </c>
      <c r="P15" s="423">
        <v>1</v>
      </c>
      <c r="Q15" s="126">
        <v>0</v>
      </c>
      <c r="R15" s="423">
        <v>0</v>
      </c>
      <c r="S15" s="126">
        <v>0</v>
      </c>
      <c r="T15" s="423">
        <v>0</v>
      </c>
      <c r="U15" s="126">
        <v>0</v>
      </c>
      <c r="V15" s="423">
        <v>1</v>
      </c>
      <c r="W15" s="126">
        <v>0</v>
      </c>
      <c r="X15" s="423">
        <v>0</v>
      </c>
      <c r="Y15" s="126">
        <v>2</v>
      </c>
      <c r="Z15" s="1166"/>
      <c r="AB15" s="658">
        <f t="shared" si="1"/>
        <v>0.4</v>
      </c>
      <c r="AC15" s="659">
        <f t="shared" si="0"/>
        <v>0.25</v>
      </c>
    </row>
    <row r="16" spans="1:29" x14ac:dyDescent="0.2">
      <c r="A16" s="1"/>
      <c r="B16" s="123" t="s">
        <v>150</v>
      </c>
      <c r="C16" s="124"/>
      <c r="D16" s="423"/>
      <c r="E16" s="126"/>
      <c r="F16" s="422"/>
      <c r="G16" s="124"/>
      <c r="H16" s="423"/>
      <c r="I16" s="126"/>
      <c r="J16" s="422"/>
      <c r="K16" s="124"/>
      <c r="L16" s="422"/>
      <c r="M16" s="124"/>
      <c r="N16" s="423"/>
      <c r="O16" s="126"/>
      <c r="P16" s="423"/>
      <c r="Q16" s="126"/>
      <c r="R16" s="423"/>
      <c r="S16" s="126"/>
      <c r="T16" s="423"/>
      <c r="U16" s="126"/>
      <c r="V16" s="423"/>
      <c r="W16" s="126"/>
      <c r="X16" s="423"/>
      <c r="Y16" s="126"/>
      <c r="Z16" s="1166"/>
      <c r="AB16" s="658"/>
      <c r="AC16" s="598" t="s">
        <v>20</v>
      </c>
    </row>
    <row r="17" spans="1:30" ht="12.75" customHeight="1" x14ac:dyDescent="0.2">
      <c r="A17" s="1"/>
      <c r="B17" s="47" t="s">
        <v>5</v>
      </c>
      <c r="C17" s="714"/>
      <c r="D17" s="715"/>
      <c r="E17" s="716"/>
      <c r="F17" s="717"/>
      <c r="G17" s="714"/>
      <c r="H17" s="715"/>
      <c r="I17" s="716"/>
      <c r="J17" s="718"/>
      <c r="K17" s="714"/>
      <c r="L17" s="717"/>
      <c r="M17" s="371">
        <v>50</v>
      </c>
      <c r="N17" s="131">
        <v>12</v>
      </c>
      <c r="O17" s="420">
        <v>108</v>
      </c>
      <c r="P17" s="131">
        <v>29</v>
      </c>
      <c r="Q17" s="420">
        <v>148</v>
      </c>
      <c r="R17" s="131">
        <v>68</v>
      </c>
      <c r="S17" s="420">
        <v>189</v>
      </c>
      <c r="T17" s="131">
        <v>60</v>
      </c>
      <c r="U17" s="420">
        <v>211</v>
      </c>
      <c r="V17" s="131">
        <v>76</v>
      </c>
      <c r="W17" s="420">
        <v>202</v>
      </c>
      <c r="X17" s="131">
        <v>95</v>
      </c>
      <c r="Y17" s="420">
        <v>187</v>
      </c>
      <c r="Z17" s="1156"/>
      <c r="AB17" s="658">
        <f t="shared" ref="AB17:AB18" si="2">AVERAGE(Y17,W17,U17,S17,Q17)</f>
        <v>187.4</v>
      </c>
      <c r="AC17" s="659">
        <f t="shared" ref="AC17:AC18" si="3">AVERAGE(Z17,X17,V17,T17,R17)</f>
        <v>74.75</v>
      </c>
    </row>
    <row r="18" spans="1:30" s="1" customFormat="1" ht="12" x14ac:dyDescent="0.2">
      <c r="B18" s="47" t="s">
        <v>57</v>
      </c>
      <c r="C18" s="502"/>
      <c r="D18" s="754"/>
      <c r="E18" s="108">
        <v>68</v>
      </c>
      <c r="F18" s="375">
        <v>28</v>
      </c>
      <c r="G18" s="130">
        <v>37</v>
      </c>
      <c r="H18" s="127">
        <v>1</v>
      </c>
      <c r="I18" s="420">
        <v>56</v>
      </c>
      <c r="J18" s="426">
        <v>4</v>
      </c>
      <c r="K18" s="371">
        <v>54</v>
      </c>
      <c r="L18" s="375">
        <v>0</v>
      </c>
      <c r="M18" s="371">
        <v>30</v>
      </c>
      <c r="N18" s="127">
        <v>23</v>
      </c>
      <c r="O18" s="420">
        <f>56+7</f>
        <v>63</v>
      </c>
      <c r="P18" s="127">
        <v>60</v>
      </c>
      <c r="Q18" s="420">
        <v>57</v>
      </c>
      <c r="R18" s="127">
        <v>46</v>
      </c>
      <c r="S18" s="420">
        <v>77</v>
      </c>
      <c r="T18" s="127">
        <v>45</v>
      </c>
      <c r="U18" s="420">
        <v>64</v>
      </c>
      <c r="V18" s="127">
        <v>65</v>
      </c>
      <c r="W18" s="420">
        <v>70</v>
      </c>
      <c r="X18" s="127">
        <v>62</v>
      </c>
      <c r="Y18" s="420">
        <v>70</v>
      </c>
      <c r="Z18" s="1155"/>
      <c r="AB18" s="658">
        <f t="shared" si="2"/>
        <v>67.599999999999994</v>
      </c>
      <c r="AC18" s="659">
        <f t="shared" si="3"/>
        <v>54.5</v>
      </c>
    </row>
    <row r="19" spans="1:30" ht="14.25" customHeight="1" x14ac:dyDescent="0.2">
      <c r="A19" s="1"/>
      <c r="B19" s="326" t="s">
        <v>38</v>
      </c>
      <c r="C19" s="371"/>
      <c r="D19" s="725"/>
      <c r="E19" s="420"/>
      <c r="F19" s="393"/>
      <c r="G19" s="371"/>
      <c r="H19" s="725"/>
      <c r="I19" s="420"/>
      <c r="J19" s="426"/>
      <c r="K19" s="371"/>
      <c r="L19" s="426"/>
      <c r="M19" s="371"/>
      <c r="N19" s="131"/>
      <c r="O19" s="420"/>
      <c r="P19" s="131"/>
      <c r="Q19" s="420"/>
      <c r="R19" s="131"/>
      <c r="S19" s="420"/>
      <c r="T19" s="131"/>
      <c r="U19" s="420"/>
      <c r="V19" s="131"/>
      <c r="W19" s="420"/>
      <c r="X19" s="131"/>
      <c r="Y19" s="420"/>
      <c r="Z19" s="1156"/>
      <c r="AB19" s="658"/>
      <c r="AC19" s="598" t="s">
        <v>20</v>
      </c>
    </row>
    <row r="20" spans="1:30" ht="14.25" customHeight="1" x14ac:dyDescent="0.2">
      <c r="A20" s="1"/>
      <c r="B20" s="47" t="s">
        <v>5</v>
      </c>
      <c r="C20" s="371">
        <v>64</v>
      </c>
      <c r="D20" s="420">
        <v>21</v>
      </c>
      <c r="E20" s="371">
        <v>77</v>
      </c>
      <c r="F20" s="420">
        <v>29</v>
      </c>
      <c r="G20" s="371">
        <v>81</v>
      </c>
      <c r="H20" s="131">
        <v>37</v>
      </c>
      <c r="I20" s="420">
        <v>76</v>
      </c>
      <c r="J20" s="426">
        <v>28</v>
      </c>
      <c r="K20" s="371">
        <v>95</v>
      </c>
      <c r="L20" s="426">
        <v>36</v>
      </c>
      <c r="M20" s="371">
        <v>83</v>
      </c>
      <c r="N20" s="131">
        <v>31</v>
      </c>
      <c r="O20" s="420">
        <v>85</v>
      </c>
      <c r="P20" s="131">
        <v>33</v>
      </c>
      <c r="Q20" s="420">
        <v>82</v>
      </c>
      <c r="R20" s="131">
        <v>31</v>
      </c>
      <c r="S20" s="420">
        <v>85</v>
      </c>
      <c r="T20" s="131">
        <v>41</v>
      </c>
      <c r="U20" s="420">
        <v>106</v>
      </c>
      <c r="V20" s="131">
        <v>35</v>
      </c>
      <c r="W20" s="420">
        <v>112</v>
      </c>
      <c r="X20" s="131">
        <v>45</v>
      </c>
      <c r="Y20" s="420">
        <v>110</v>
      </c>
      <c r="Z20" s="1156"/>
      <c r="AB20" s="658">
        <f t="shared" ref="AB20:AB21" si="4">AVERAGE(Y20,W20,U20,S20,Q20)</f>
        <v>99</v>
      </c>
      <c r="AC20" s="659">
        <f t="shared" ref="AC20:AC21" si="5">AVERAGE(Z20,X20,V20,T20,R20)</f>
        <v>38</v>
      </c>
    </row>
    <row r="21" spans="1:30" ht="14.25" customHeight="1" thickBot="1" x14ac:dyDescent="0.25">
      <c r="A21" s="1"/>
      <c r="B21" s="48" t="s">
        <v>6</v>
      </c>
      <c r="C21" s="133">
        <v>26</v>
      </c>
      <c r="D21" s="440">
        <v>5</v>
      </c>
      <c r="E21" s="133">
        <v>29</v>
      </c>
      <c r="F21" s="440">
        <v>2</v>
      </c>
      <c r="G21" s="133">
        <v>29</v>
      </c>
      <c r="H21" s="134">
        <v>3</v>
      </c>
      <c r="I21" s="440">
        <v>33</v>
      </c>
      <c r="J21" s="391">
        <v>1</v>
      </c>
      <c r="K21" s="133">
        <v>41</v>
      </c>
      <c r="L21" s="391">
        <v>5</v>
      </c>
      <c r="M21" s="133">
        <v>40</v>
      </c>
      <c r="N21" s="134">
        <v>5</v>
      </c>
      <c r="O21" s="440">
        <v>42</v>
      </c>
      <c r="P21" s="134">
        <v>4</v>
      </c>
      <c r="Q21" s="440">
        <v>43</v>
      </c>
      <c r="R21" s="131">
        <v>1</v>
      </c>
      <c r="S21" s="440">
        <v>48</v>
      </c>
      <c r="T21" s="131">
        <v>4</v>
      </c>
      <c r="U21" s="440">
        <v>50</v>
      </c>
      <c r="V21" s="131">
        <v>7</v>
      </c>
      <c r="W21" s="440">
        <v>46</v>
      </c>
      <c r="X21" s="131">
        <v>0</v>
      </c>
      <c r="Y21" s="440">
        <v>44</v>
      </c>
      <c r="Z21" s="1156"/>
      <c r="AB21" s="658">
        <f t="shared" si="4"/>
        <v>46.2</v>
      </c>
      <c r="AC21" s="659">
        <f t="shared" si="5"/>
        <v>3</v>
      </c>
    </row>
    <row r="22" spans="1:30" ht="14.25" hidden="1" customHeight="1" x14ac:dyDescent="0.2">
      <c r="A22" s="1"/>
      <c r="B22" s="330" t="s">
        <v>39</v>
      </c>
      <c r="C22" s="434"/>
      <c r="D22" s="963"/>
      <c r="E22" s="436"/>
      <c r="F22" s="964"/>
      <c r="G22" s="434"/>
      <c r="H22" s="963"/>
      <c r="I22" s="436"/>
      <c r="J22" s="964"/>
      <c r="K22" s="434"/>
      <c r="L22" s="964"/>
      <c r="M22" s="434"/>
      <c r="N22" s="965"/>
      <c r="O22" s="436"/>
      <c r="P22" s="966"/>
      <c r="Q22" s="436"/>
      <c r="R22" s="886"/>
      <c r="S22" s="436"/>
      <c r="T22" s="886"/>
      <c r="U22" s="436"/>
      <c r="V22" s="886"/>
      <c r="W22" s="436"/>
      <c r="X22" s="886"/>
      <c r="Y22" s="436"/>
      <c r="Z22" s="886"/>
      <c r="AB22" s="658"/>
      <c r="AC22" s="660"/>
    </row>
    <row r="23" spans="1:30" ht="14.25" hidden="1" customHeight="1" thickBot="1" x14ac:dyDescent="0.25">
      <c r="A23" s="1"/>
      <c r="B23" s="48" t="s">
        <v>6</v>
      </c>
      <c r="C23" s="324">
        <v>3</v>
      </c>
      <c r="D23" s="726">
        <v>0</v>
      </c>
      <c r="E23" s="324">
        <v>2</v>
      </c>
      <c r="F23" s="727">
        <v>1</v>
      </c>
      <c r="G23" s="133">
        <v>1</v>
      </c>
      <c r="H23" s="421">
        <v>1</v>
      </c>
      <c r="I23" s="369"/>
      <c r="J23" s="370"/>
      <c r="K23" s="368"/>
      <c r="L23" s="370"/>
      <c r="M23" s="368"/>
      <c r="N23" s="859"/>
      <c r="O23" s="369"/>
      <c r="P23" s="859"/>
      <c r="Q23" s="369"/>
      <c r="R23" s="859"/>
      <c r="S23" s="369"/>
      <c r="T23" s="859"/>
      <c r="U23" s="369"/>
      <c r="V23" s="859"/>
      <c r="W23" s="369"/>
      <c r="X23" s="859"/>
      <c r="Y23" s="369"/>
      <c r="Z23" s="859"/>
      <c r="AB23" s="968" t="s">
        <v>146</v>
      </c>
      <c r="AC23" s="969" t="s">
        <v>157</v>
      </c>
    </row>
    <row r="24" spans="1:30" ht="13.5" thickTop="1" x14ac:dyDescent="0.2">
      <c r="A24" s="1"/>
      <c r="B24" s="135" t="s">
        <v>109</v>
      </c>
      <c r="C24" s="138"/>
      <c r="D24" s="137"/>
      <c r="E24" s="138"/>
      <c r="F24" s="137"/>
      <c r="G24" s="138"/>
      <c r="H24" s="137"/>
      <c r="I24" s="138"/>
      <c r="J24" s="137"/>
      <c r="K24" s="138"/>
      <c r="L24" s="137"/>
      <c r="M24" s="138"/>
      <c r="N24" s="137"/>
      <c r="O24" s="138"/>
      <c r="P24" s="137"/>
      <c r="Q24" s="138"/>
      <c r="R24" s="967"/>
      <c r="S24" s="138"/>
      <c r="T24" s="967"/>
      <c r="U24" s="138"/>
      <c r="V24" s="967"/>
      <c r="W24" s="138"/>
      <c r="X24" s="967"/>
      <c r="Y24" s="138"/>
      <c r="Z24" s="967"/>
      <c r="AB24" s="724"/>
      <c r="AC24" s="724"/>
      <c r="AD24" s="578"/>
    </row>
    <row r="25" spans="1:30" ht="13.5" thickBot="1" x14ac:dyDescent="0.25">
      <c r="A25" s="1"/>
      <c r="B25" s="1" t="s">
        <v>163</v>
      </c>
      <c r="C25" s="138"/>
      <c r="D25" s="137"/>
      <c r="E25" s="138"/>
      <c r="F25" s="137"/>
      <c r="G25" s="138"/>
      <c r="H25" s="137"/>
      <c r="I25" s="138"/>
      <c r="J25" s="137"/>
      <c r="K25" s="138"/>
      <c r="L25" s="137"/>
      <c r="M25" s="138"/>
      <c r="N25" s="137"/>
      <c r="O25" s="138"/>
      <c r="P25" s="137"/>
      <c r="Q25" s="138"/>
      <c r="R25" s="137"/>
      <c r="S25" s="138"/>
      <c r="T25" s="137"/>
      <c r="U25" s="138"/>
      <c r="V25" s="137"/>
      <c r="W25" s="138"/>
      <c r="X25" s="137"/>
      <c r="Y25" s="138"/>
      <c r="Z25" s="137"/>
    </row>
    <row r="26" spans="1:30" ht="14.25" thickTop="1" thickBot="1" x14ac:dyDescent="0.25">
      <c r="A26" s="1"/>
      <c r="B26" s="270"/>
      <c r="C26" s="1231" t="s">
        <v>28</v>
      </c>
      <c r="D26" s="1221"/>
      <c r="E26" s="1220" t="s">
        <v>29</v>
      </c>
      <c r="F26" s="1220"/>
      <c r="G26" s="1231" t="s">
        <v>89</v>
      </c>
      <c r="H26" s="1221"/>
      <c r="I26" s="1220" t="s">
        <v>99</v>
      </c>
      <c r="J26" s="1220"/>
      <c r="K26" s="1231" t="s">
        <v>101</v>
      </c>
      <c r="L26" s="1220"/>
      <c r="M26" s="1231" t="s">
        <v>106</v>
      </c>
      <c r="N26" s="1221"/>
      <c r="O26" s="1220" t="s">
        <v>155</v>
      </c>
      <c r="P26" s="1221"/>
      <c r="Q26" s="1220" t="s">
        <v>160</v>
      </c>
      <c r="R26" s="1221"/>
      <c r="S26" s="1220" t="s">
        <v>179</v>
      </c>
      <c r="T26" s="1221"/>
      <c r="U26" s="1220" t="s">
        <v>189</v>
      </c>
      <c r="V26" s="1221"/>
      <c r="W26" s="1220" t="s">
        <v>194</v>
      </c>
      <c r="X26" s="1221"/>
      <c r="Y26" s="1220" t="s">
        <v>198</v>
      </c>
      <c r="Z26" s="1221"/>
      <c r="AB26" s="1350" t="s">
        <v>142</v>
      </c>
      <c r="AC26" s="1351"/>
    </row>
    <row r="27" spans="1:30" x14ac:dyDescent="0.2">
      <c r="A27" s="1"/>
      <c r="B27" s="45" t="s">
        <v>7</v>
      </c>
      <c r="C27" s="229"/>
      <c r="D27" s="339"/>
      <c r="E27" s="207"/>
      <c r="F27" s="207"/>
      <c r="G27" s="229"/>
      <c r="H27" s="339"/>
      <c r="I27" s="207"/>
      <c r="J27" s="207"/>
      <c r="K27" s="229"/>
      <c r="L27" s="207"/>
      <c r="M27" s="229"/>
      <c r="N27" s="339"/>
      <c r="O27" s="207"/>
      <c r="P27" s="339"/>
      <c r="Q27" s="207"/>
      <c r="R27" s="339"/>
      <c r="S27" s="207"/>
      <c r="T27" s="339"/>
      <c r="U27" s="207"/>
      <c r="V27" s="339"/>
      <c r="W27" s="207"/>
      <c r="X27" s="339"/>
      <c r="Y27" s="207"/>
      <c r="Z27" s="339"/>
      <c r="AB27" s="616"/>
      <c r="AC27" s="617"/>
    </row>
    <row r="28" spans="1:30" x14ac:dyDescent="0.2">
      <c r="A28" s="1"/>
      <c r="B28" s="50" t="s">
        <v>8</v>
      </c>
      <c r="C28" s="228"/>
      <c r="D28" s="360"/>
      <c r="E28" s="208"/>
      <c r="F28" s="208"/>
      <c r="G28" s="228"/>
      <c r="H28" s="360"/>
      <c r="I28" s="208"/>
      <c r="J28" s="208"/>
      <c r="K28" s="228"/>
      <c r="L28" s="208"/>
      <c r="M28" s="228"/>
      <c r="N28" s="360"/>
      <c r="O28" s="208"/>
      <c r="P28" s="360"/>
      <c r="Q28" s="208"/>
      <c r="R28" s="360"/>
      <c r="S28" s="208"/>
      <c r="T28" s="360"/>
      <c r="U28" s="208"/>
      <c r="V28" s="360"/>
      <c r="W28" s="208"/>
      <c r="X28" s="360"/>
      <c r="Y28" s="208"/>
      <c r="Z28" s="360"/>
      <c r="AB28" s="618"/>
      <c r="AC28" s="619"/>
    </row>
    <row r="29" spans="1:30" x14ac:dyDescent="0.2">
      <c r="A29" s="1"/>
      <c r="B29" s="50" t="s">
        <v>9</v>
      </c>
      <c r="C29" s="228"/>
      <c r="D29" s="340">
        <v>2084</v>
      </c>
      <c r="E29" s="208"/>
      <c r="F29" s="313">
        <v>2071</v>
      </c>
      <c r="G29" s="228"/>
      <c r="H29" s="340">
        <v>1745</v>
      </c>
      <c r="I29" s="208"/>
      <c r="J29" s="313">
        <v>1872</v>
      </c>
      <c r="K29" s="228"/>
      <c r="L29" s="313">
        <v>1885</v>
      </c>
      <c r="M29" s="228"/>
      <c r="N29" s="340">
        <v>2048</v>
      </c>
      <c r="O29" s="208"/>
      <c r="P29" s="340">
        <v>2412</v>
      </c>
      <c r="Q29" s="208"/>
      <c r="R29" s="340">
        <v>2290</v>
      </c>
      <c r="S29" s="208"/>
      <c r="T29" s="340">
        <v>2350</v>
      </c>
      <c r="U29" s="208"/>
      <c r="V29" s="340">
        <v>2505</v>
      </c>
      <c r="W29" s="208"/>
      <c r="X29" s="340">
        <v>2509</v>
      </c>
      <c r="Y29" s="208"/>
      <c r="Z29" s="1186"/>
      <c r="AB29" s="618"/>
      <c r="AC29" s="661">
        <f t="shared" ref="AC29:AC33" si="6">AVERAGE(Z29,X29,V29,T29,R29)</f>
        <v>2413.5</v>
      </c>
    </row>
    <row r="30" spans="1:30" x14ac:dyDescent="0.2">
      <c r="A30" s="1"/>
      <c r="B30" s="50" t="s">
        <v>10</v>
      </c>
      <c r="C30" s="228"/>
      <c r="D30" s="340">
        <v>2871</v>
      </c>
      <c r="E30" s="208"/>
      <c r="F30" s="313">
        <v>3033</v>
      </c>
      <c r="G30" s="228"/>
      <c r="H30" s="340">
        <v>2497</v>
      </c>
      <c r="I30" s="208"/>
      <c r="J30" s="313">
        <v>2678</v>
      </c>
      <c r="K30" s="228"/>
      <c r="L30" s="313">
        <f>1846+996</f>
        <v>2842</v>
      </c>
      <c r="M30" s="228"/>
      <c r="N30" s="340">
        <v>2544</v>
      </c>
      <c r="O30" s="208"/>
      <c r="P30" s="340">
        <v>2771</v>
      </c>
      <c r="Q30" s="208"/>
      <c r="R30" s="340">
        <v>2844</v>
      </c>
      <c r="S30" s="208"/>
      <c r="T30" s="340">
        <v>2586</v>
      </c>
      <c r="U30" s="208"/>
      <c r="V30" s="340">
        <v>2539</v>
      </c>
      <c r="W30" s="208"/>
      <c r="X30" s="340">
        <v>2378</v>
      </c>
      <c r="Y30" s="208"/>
      <c r="Z30" s="1186"/>
      <c r="AB30" s="618"/>
      <c r="AC30" s="661">
        <f t="shared" si="6"/>
        <v>2586.75</v>
      </c>
    </row>
    <row r="31" spans="1:30" x14ac:dyDescent="0.2">
      <c r="A31" s="1"/>
      <c r="B31" s="50" t="s">
        <v>11</v>
      </c>
      <c r="C31" s="228"/>
      <c r="D31" s="340">
        <v>2870</v>
      </c>
      <c r="E31" s="208"/>
      <c r="F31" s="313">
        <v>4274</v>
      </c>
      <c r="G31" s="228"/>
      <c r="H31" s="340">
        <v>3965</v>
      </c>
      <c r="I31" s="208"/>
      <c r="J31" s="313">
        <v>3841</v>
      </c>
      <c r="K31" s="228"/>
      <c r="L31" s="313">
        <f>3366+1141</f>
        <v>4507</v>
      </c>
      <c r="M31" s="228"/>
      <c r="N31" s="340">
        <v>4808</v>
      </c>
      <c r="O31" s="208"/>
      <c r="P31" s="340">
        <v>5834</v>
      </c>
      <c r="Q31" s="208"/>
      <c r="R31" s="340">
        <v>6198</v>
      </c>
      <c r="S31" s="208"/>
      <c r="T31" s="340">
        <v>6592</v>
      </c>
      <c r="U31" s="208"/>
      <c r="V31" s="340">
        <v>7128</v>
      </c>
      <c r="W31" s="208"/>
      <c r="X31" s="340">
        <v>7005</v>
      </c>
      <c r="Y31" s="208"/>
      <c r="Z31" s="1186"/>
      <c r="AB31" s="618"/>
      <c r="AC31" s="661">
        <f t="shared" si="6"/>
        <v>6730.75</v>
      </c>
    </row>
    <row r="32" spans="1:30" x14ac:dyDescent="0.2">
      <c r="A32" s="1"/>
      <c r="B32" s="50" t="s">
        <v>12</v>
      </c>
      <c r="C32" s="228"/>
      <c r="D32" s="340">
        <v>423</v>
      </c>
      <c r="E32" s="208"/>
      <c r="F32" s="313">
        <v>518</v>
      </c>
      <c r="G32" s="228"/>
      <c r="H32" s="340">
        <v>497</v>
      </c>
      <c r="I32" s="208"/>
      <c r="J32" s="313">
        <v>480</v>
      </c>
      <c r="K32" s="228"/>
      <c r="L32" s="313">
        <f>542+16</f>
        <v>558</v>
      </c>
      <c r="M32" s="228"/>
      <c r="N32" s="340">
        <v>499</v>
      </c>
      <c r="O32" s="208"/>
      <c r="P32" s="340">
        <v>433</v>
      </c>
      <c r="Q32" s="208"/>
      <c r="R32" s="340">
        <v>536</v>
      </c>
      <c r="S32" s="208"/>
      <c r="T32" s="340">
        <v>583</v>
      </c>
      <c r="U32" s="208"/>
      <c r="V32" s="340">
        <v>458</v>
      </c>
      <c r="W32" s="208"/>
      <c r="X32" s="340">
        <v>549</v>
      </c>
      <c r="Y32" s="208"/>
      <c r="Z32" s="1186"/>
      <c r="AB32" s="618"/>
      <c r="AC32" s="661">
        <f t="shared" si="6"/>
        <v>531.5</v>
      </c>
    </row>
    <row r="33" spans="1:32" ht="13.5" thickBot="1" x14ac:dyDescent="0.25">
      <c r="A33" s="1"/>
      <c r="B33" s="845" t="s">
        <v>13</v>
      </c>
      <c r="C33" s="256"/>
      <c r="D33" s="351">
        <f>SUM(D29:D32)</f>
        <v>8248</v>
      </c>
      <c r="E33" s="361"/>
      <c r="F33" s="351">
        <f>SUM(F29:F32)</f>
        <v>9896</v>
      </c>
      <c r="G33" s="389"/>
      <c r="H33" s="351">
        <f>SUM(H29:H32)</f>
        <v>8704</v>
      </c>
      <c r="I33" s="389"/>
      <c r="J33" s="389">
        <f>SUM(J29:J32)</f>
        <v>8871</v>
      </c>
      <c r="K33" s="841"/>
      <c r="L33" s="389">
        <f>SUM(L29:L32)</f>
        <v>9792</v>
      </c>
      <c r="M33" s="841"/>
      <c r="N33" s="351">
        <f>SUM(N29:N32)</f>
        <v>9899</v>
      </c>
      <c r="O33" s="841"/>
      <c r="P33" s="351">
        <f>SUM(P29:P32)</f>
        <v>11450</v>
      </c>
      <c r="Q33" s="841"/>
      <c r="R33" s="351">
        <f>SUM(R29:R32)</f>
        <v>11868</v>
      </c>
      <c r="S33" s="841"/>
      <c r="T33" s="351">
        <f>SUM(T29:T32)</f>
        <v>12111</v>
      </c>
      <c r="U33" s="841"/>
      <c r="V33" s="351">
        <f>SUM(V29:V32)</f>
        <v>12630</v>
      </c>
      <c r="W33" s="841"/>
      <c r="X33" s="351">
        <f>SUM(X29:X32)</f>
        <v>12441</v>
      </c>
      <c r="Y33" s="841"/>
      <c r="Z33" s="1188">
        <f>SUM(Z29:Z32)</f>
        <v>0</v>
      </c>
      <c r="AA33" s="887"/>
      <c r="AB33" s="620"/>
      <c r="AC33" s="654">
        <f t="shared" si="6"/>
        <v>9810</v>
      </c>
    </row>
    <row r="34" spans="1:32" ht="14.25" thickTop="1" thickBot="1" x14ac:dyDescent="0.25">
      <c r="A34" s="430"/>
      <c r="B34" s="565" t="s">
        <v>141</v>
      </c>
      <c r="C34" s="1326" t="s">
        <v>30</v>
      </c>
      <c r="D34" s="1332"/>
      <c r="E34" s="1326" t="s">
        <v>31</v>
      </c>
      <c r="F34" s="1332"/>
      <c r="G34" s="1254" t="s">
        <v>110</v>
      </c>
      <c r="H34" s="1282"/>
      <c r="I34" s="1249" t="s">
        <v>111</v>
      </c>
      <c r="J34" s="1252"/>
      <c r="K34" s="1249" t="s">
        <v>128</v>
      </c>
      <c r="L34" s="1252"/>
      <c r="M34" s="1254" t="s">
        <v>129</v>
      </c>
      <c r="N34" s="1222"/>
      <c r="O34" s="1218" t="s">
        <v>156</v>
      </c>
      <c r="P34" s="1282"/>
      <c r="Q34" s="1218" t="s">
        <v>161</v>
      </c>
      <c r="R34" s="1282"/>
      <c r="S34" s="1218" t="s">
        <v>180</v>
      </c>
      <c r="T34" s="1282"/>
      <c r="U34" s="1218" t="s">
        <v>190</v>
      </c>
      <c r="V34" s="1282"/>
      <c r="W34" s="1218" t="s">
        <v>195</v>
      </c>
      <c r="X34" s="1282"/>
      <c r="Y34" s="1218" t="s">
        <v>199</v>
      </c>
      <c r="Z34" s="1282"/>
      <c r="AA34" s="625"/>
      <c r="AB34" s="1255" t="s">
        <v>142</v>
      </c>
      <c r="AC34" s="1256"/>
      <c r="AD34" s="397"/>
      <c r="AE34" s="397"/>
      <c r="AF34" s="432"/>
    </row>
    <row r="35" spans="1:32" x14ac:dyDescent="0.2">
      <c r="A35" s="430"/>
      <c r="B35" s="566" t="s">
        <v>115</v>
      </c>
      <c r="C35" s="1333">
        <v>0</v>
      </c>
      <c r="D35" s="1334"/>
      <c r="E35" s="1269">
        <v>0</v>
      </c>
      <c r="F35" s="1335"/>
      <c r="G35" s="1269">
        <v>0</v>
      </c>
      <c r="H35" s="1335"/>
      <c r="I35" s="1269">
        <v>0</v>
      </c>
      <c r="J35" s="1270"/>
      <c r="K35" s="1342">
        <v>0</v>
      </c>
      <c r="L35" s="1343"/>
      <c r="M35" s="1342">
        <v>0</v>
      </c>
      <c r="N35" s="1343"/>
      <c r="O35" s="1324">
        <v>0</v>
      </c>
      <c r="P35" s="1321"/>
      <c r="Q35" s="1320">
        <v>0</v>
      </c>
      <c r="R35" s="1321"/>
      <c r="S35" s="1320">
        <v>0</v>
      </c>
      <c r="T35" s="1321"/>
      <c r="U35" s="1320">
        <v>0</v>
      </c>
      <c r="V35" s="1321"/>
      <c r="W35" s="1320">
        <v>0</v>
      </c>
      <c r="X35" s="1321"/>
      <c r="Y35" s="1320">
        <v>0</v>
      </c>
      <c r="Z35" s="1321"/>
      <c r="AA35" s="769"/>
      <c r="AB35" s="570"/>
      <c r="AC35" s="571">
        <v>0</v>
      </c>
      <c r="AD35" s="397"/>
      <c r="AE35" s="397"/>
      <c r="AF35" s="432"/>
    </row>
    <row r="36" spans="1:32" x14ac:dyDescent="0.2">
      <c r="A36" s="430"/>
      <c r="B36" s="572" t="s">
        <v>116</v>
      </c>
      <c r="C36" s="1336">
        <v>0.79300000000000004</v>
      </c>
      <c r="D36" s="1337"/>
      <c r="E36" s="1272">
        <v>0.16200000000000001</v>
      </c>
      <c r="F36" s="1338"/>
      <c r="G36" s="1272">
        <v>0.29399999999999998</v>
      </c>
      <c r="H36" s="1338"/>
      <c r="I36" s="1272">
        <v>0.186</v>
      </c>
      <c r="J36" s="1273"/>
      <c r="K36" s="1340">
        <v>0.255</v>
      </c>
      <c r="L36" s="1341"/>
      <c r="M36" s="1340">
        <v>0.255</v>
      </c>
      <c r="N36" s="1341"/>
      <c r="O36" s="1325">
        <v>0.33200000000000002</v>
      </c>
      <c r="P36" s="1323"/>
      <c r="Q36" s="1322">
        <v>0.376</v>
      </c>
      <c r="R36" s="1323"/>
      <c r="S36" s="1322">
        <v>0.16600000000000001</v>
      </c>
      <c r="T36" s="1323"/>
      <c r="U36" s="1322">
        <v>0.192</v>
      </c>
      <c r="V36" s="1323"/>
      <c r="W36" s="1322">
        <v>0.19900000000000001</v>
      </c>
      <c r="X36" s="1323"/>
      <c r="Y36" s="1322">
        <v>0.20599999999999999</v>
      </c>
      <c r="Z36" s="1323"/>
      <c r="AA36" s="769"/>
      <c r="AB36" s="597"/>
      <c r="AC36" s="571">
        <f>AVERAGE(Y36,W36,U36,S36,Q36)</f>
        <v>0.2278</v>
      </c>
      <c r="AD36" s="577"/>
      <c r="AE36" s="397"/>
      <c r="AF36" s="432"/>
    </row>
    <row r="37" spans="1:32" ht="13.5" thickBot="1" x14ac:dyDescent="0.25">
      <c r="A37" s="1"/>
      <c r="B37" s="575" t="s">
        <v>117</v>
      </c>
      <c r="C37" s="1280">
        <f>1-C35-C36</f>
        <v>0.20699999999999996</v>
      </c>
      <c r="D37" s="1224"/>
      <c r="E37" s="1280">
        <f>1-E35-E36</f>
        <v>0.83799999999999997</v>
      </c>
      <c r="F37" s="1224"/>
      <c r="G37" s="1280">
        <f>1-G35-G36</f>
        <v>0.70599999999999996</v>
      </c>
      <c r="H37" s="1224"/>
      <c r="I37" s="1280">
        <f>1-I35-I36</f>
        <v>0.81400000000000006</v>
      </c>
      <c r="J37" s="1224"/>
      <c r="K37" s="1238">
        <f>1-K35-K36</f>
        <v>0.745</v>
      </c>
      <c r="L37" s="1237"/>
      <c r="M37" s="1238">
        <f>1-M35-M36</f>
        <v>0.745</v>
      </c>
      <c r="N37" s="1237"/>
      <c r="O37" s="1236">
        <f>1-O36-O35</f>
        <v>0.66799999999999993</v>
      </c>
      <c r="P37" s="1224"/>
      <c r="Q37" s="1223">
        <f>1-Q35-Q36</f>
        <v>0.624</v>
      </c>
      <c r="R37" s="1224"/>
      <c r="S37" s="1223">
        <f>1-S35-S36</f>
        <v>0.83399999999999996</v>
      </c>
      <c r="T37" s="1224"/>
      <c r="U37" s="1223">
        <f>1-U35-U36</f>
        <v>0.80800000000000005</v>
      </c>
      <c r="V37" s="1224"/>
      <c r="W37" s="1223">
        <f>1-W35-W36</f>
        <v>0.80099999999999993</v>
      </c>
      <c r="X37" s="1224"/>
      <c r="Y37" s="1223">
        <f>1-Y35-Y36</f>
        <v>0.79400000000000004</v>
      </c>
      <c r="Z37" s="1224"/>
      <c r="AA37" s="769"/>
      <c r="AB37" s="1344">
        <f>AVERAGE(Y37,W37,U37,S37,Q37)</f>
        <v>0.7722</v>
      </c>
      <c r="AC37" s="1345"/>
      <c r="AD37" s="577"/>
      <c r="AE37" s="397"/>
      <c r="AF37" s="432"/>
    </row>
    <row r="38" spans="1:32" ht="8.25" customHeight="1" thickTop="1" x14ac:dyDescent="0.2">
      <c r="A38" s="1"/>
      <c r="B38" s="92"/>
      <c r="C38" s="210"/>
      <c r="D38" s="211"/>
      <c r="E38" s="210"/>
      <c r="F38" s="211"/>
      <c r="G38" s="210"/>
      <c r="H38" s="211"/>
      <c r="I38" s="210"/>
      <c r="J38" s="211"/>
      <c r="K38" s="210"/>
      <c r="L38" s="211"/>
      <c r="M38" s="210"/>
      <c r="N38" s="211"/>
      <c r="O38" s="210"/>
      <c r="P38" s="211"/>
      <c r="Q38" s="210"/>
      <c r="R38" s="211"/>
      <c r="S38" s="210"/>
      <c r="T38" s="211"/>
      <c r="U38" s="210"/>
      <c r="V38" s="211"/>
      <c r="W38" s="210"/>
      <c r="X38" s="211"/>
      <c r="Y38" s="210"/>
      <c r="Z38" s="211"/>
      <c r="AC38" s="724"/>
    </row>
    <row r="39" spans="1:32" x14ac:dyDescent="0.2">
      <c r="A39" s="95" t="s">
        <v>45</v>
      </c>
      <c r="B39" s="82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</row>
    <row r="40" spans="1:32" ht="8.25" customHeight="1" thickBot="1" x14ac:dyDescent="0.25">
      <c r="A40" s="95"/>
      <c r="B40" s="82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</row>
    <row r="41" spans="1:32" ht="14.25" thickTop="1" thickBot="1" x14ac:dyDescent="0.25">
      <c r="A41" s="3"/>
      <c r="B41" s="271" t="s">
        <v>46</v>
      </c>
      <c r="C41" s="1231" t="s">
        <v>28</v>
      </c>
      <c r="D41" s="1221"/>
      <c r="E41" s="1220" t="s">
        <v>29</v>
      </c>
      <c r="F41" s="1220"/>
      <c r="G41" s="1231" t="s">
        <v>89</v>
      </c>
      <c r="H41" s="1221"/>
      <c r="I41" s="1220" t="s">
        <v>99</v>
      </c>
      <c r="J41" s="1220"/>
      <c r="K41" s="1231" t="s">
        <v>101</v>
      </c>
      <c r="L41" s="1220"/>
      <c r="M41" s="1231" t="s">
        <v>106</v>
      </c>
      <c r="N41" s="1221"/>
      <c r="O41" s="1220" t="s">
        <v>155</v>
      </c>
      <c r="P41" s="1221"/>
      <c r="Q41" s="1220" t="s">
        <v>160</v>
      </c>
      <c r="R41" s="1221"/>
      <c r="S41" s="1220" t="s">
        <v>179</v>
      </c>
      <c r="T41" s="1221"/>
      <c r="U41" s="1220" t="s">
        <v>189</v>
      </c>
      <c r="V41" s="1221"/>
      <c r="W41" s="1220" t="s">
        <v>194</v>
      </c>
      <c r="X41" s="1221"/>
      <c r="Y41" s="1220" t="s">
        <v>198</v>
      </c>
      <c r="Z41" s="1221"/>
      <c r="AB41" s="1350" t="s">
        <v>142</v>
      </c>
      <c r="AC41" s="1351"/>
    </row>
    <row r="42" spans="1:32" x14ac:dyDescent="0.2">
      <c r="A42" s="3"/>
      <c r="B42" s="276" t="s">
        <v>47</v>
      </c>
      <c r="C42" s="229"/>
      <c r="D42" s="339"/>
      <c r="E42" s="207"/>
      <c r="F42" s="207"/>
      <c r="G42" s="229"/>
      <c r="H42" s="339"/>
      <c r="I42" s="207"/>
      <c r="J42" s="207"/>
      <c r="K42" s="229"/>
      <c r="L42" s="207"/>
      <c r="M42" s="229"/>
      <c r="N42" s="339"/>
      <c r="O42" s="207"/>
      <c r="P42" s="339"/>
      <c r="Q42" s="207"/>
      <c r="R42" s="339"/>
      <c r="S42" s="207"/>
      <c r="T42" s="339"/>
      <c r="U42" s="207"/>
      <c r="V42" s="339"/>
      <c r="W42" s="207"/>
      <c r="X42" s="339"/>
      <c r="Y42" s="207"/>
      <c r="Z42" s="339"/>
      <c r="AB42" s="616"/>
      <c r="AC42" s="617"/>
    </row>
    <row r="43" spans="1:32" ht="12.75" customHeight="1" x14ac:dyDescent="0.2">
      <c r="A43" s="3"/>
      <c r="B43" s="273" t="s">
        <v>48</v>
      </c>
      <c r="C43" s="313"/>
      <c r="D43" s="340">
        <v>1090899</v>
      </c>
      <c r="E43" s="188"/>
      <c r="F43" s="340">
        <v>1184855</v>
      </c>
      <c r="G43" s="188"/>
      <c r="H43" s="340">
        <v>1276504</v>
      </c>
      <c r="I43" s="207"/>
      <c r="J43" s="257">
        <v>1224313</v>
      </c>
      <c r="K43" s="229"/>
      <c r="L43" s="257">
        <v>1287687</v>
      </c>
      <c r="M43" s="229"/>
      <c r="N43" s="238">
        <v>1181106</v>
      </c>
      <c r="O43" s="207"/>
      <c r="P43" s="238">
        <v>1250999</v>
      </c>
      <c r="Q43" s="207"/>
      <c r="R43" s="238">
        <v>1283634</v>
      </c>
      <c r="S43" s="207"/>
      <c r="T43" s="238">
        <v>1248998</v>
      </c>
      <c r="U43" s="207"/>
      <c r="V43" s="238">
        <v>1331199</v>
      </c>
      <c r="W43" s="207"/>
      <c r="X43" s="238">
        <v>1340456</v>
      </c>
      <c r="Y43" s="207"/>
      <c r="Z43" s="238">
        <v>1383455</v>
      </c>
      <c r="AB43" s="618"/>
      <c r="AC43" s="661">
        <f t="shared" ref="AC43:AC44" si="7">AVERAGE(Z43,X43,V43,T43,R43)</f>
        <v>1317548.3999999999</v>
      </c>
    </row>
    <row r="44" spans="1:32" ht="12.75" customHeight="1" x14ac:dyDescent="0.2">
      <c r="A44" s="3"/>
      <c r="B44" s="273" t="s">
        <v>166</v>
      </c>
      <c r="C44" s="313"/>
      <c r="D44" s="340"/>
      <c r="E44" s="188"/>
      <c r="F44" s="340"/>
      <c r="G44" s="188"/>
      <c r="H44" s="784"/>
      <c r="I44" s="207"/>
      <c r="J44" s="257">
        <v>77017</v>
      </c>
      <c r="K44" s="229"/>
      <c r="L44" s="257">
        <v>76950</v>
      </c>
      <c r="M44" s="229"/>
      <c r="N44" s="238">
        <v>78796</v>
      </c>
      <c r="O44" s="207"/>
      <c r="P44" s="238">
        <v>0</v>
      </c>
      <c r="Q44" s="207"/>
      <c r="R44" s="238">
        <v>0</v>
      </c>
      <c r="S44" s="207"/>
      <c r="T44" s="238"/>
      <c r="U44" s="207"/>
      <c r="V44" s="238"/>
      <c r="W44" s="207"/>
      <c r="X44" s="238"/>
      <c r="Y44" s="207"/>
      <c r="Z44" s="238"/>
      <c r="AB44" s="618"/>
      <c r="AC44" s="661">
        <f t="shared" si="7"/>
        <v>0</v>
      </c>
    </row>
    <row r="45" spans="1:32" ht="36" x14ac:dyDescent="0.2">
      <c r="A45" s="3"/>
      <c r="B45" s="274" t="s">
        <v>58</v>
      </c>
      <c r="C45" s="313"/>
      <c r="D45" s="340">
        <v>168321</v>
      </c>
      <c r="E45" s="188"/>
      <c r="F45" s="340">
        <v>717303</v>
      </c>
      <c r="G45" s="188"/>
      <c r="H45" s="340">
        <v>767387</v>
      </c>
      <c r="I45" s="208"/>
      <c r="J45" s="258">
        <v>602953</v>
      </c>
      <c r="K45" s="228"/>
      <c r="L45" s="258">
        <v>602953</v>
      </c>
      <c r="M45" s="228"/>
      <c r="N45" s="239">
        <v>696562</v>
      </c>
      <c r="O45" s="208"/>
      <c r="P45" s="239">
        <v>110789</v>
      </c>
      <c r="Q45" s="208"/>
      <c r="R45" s="239">
        <v>111764</v>
      </c>
      <c r="S45" s="208"/>
      <c r="T45" s="239">
        <v>98241</v>
      </c>
      <c r="U45" s="208"/>
      <c r="V45" s="239">
        <v>23265</v>
      </c>
      <c r="W45" s="208"/>
      <c r="X45" s="239">
        <v>98945</v>
      </c>
      <c r="Y45" s="208"/>
      <c r="Z45" s="239">
        <v>93472</v>
      </c>
      <c r="AB45" s="618"/>
      <c r="AC45" s="661">
        <f>AVERAGE(Z45,X45,V45,T45,R45)</f>
        <v>85137.4</v>
      </c>
    </row>
    <row r="46" spans="1:32" x14ac:dyDescent="0.2">
      <c r="A46" s="3"/>
      <c r="B46" s="275" t="s">
        <v>49</v>
      </c>
      <c r="C46" s="313"/>
      <c r="D46" s="340">
        <v>1259220</v>
      </c>
      <c r="E46" s="188"/>
      <c r="F46" s="340">
        <v>1902158</v>
      </c>
      <c r="G46" s="188"/>
      <c r="H46" s="1022">
        <v>2043891</v>
      </c>
      <c r="I46" s="212"/>
      <c r="J46" s="259">
        <f>SUM(J43:J45)</f>
        <v>1904283</v>
      </c>
      <c r="K46" s="230"/>
      <c r="L46" s="259">
        <f>SUM(L43:L45)</f>
        <v>1967590</v>
      </c>
      <c r="M46" s="230"/>
      <c r="N46" s="240">
        <f>SUM(N43:N45)</f>
        <v>1956464</v>
      </c>
      <c r="O46" s="212"/>
      <c r="P46" s="240">
        <f>SUM(P43:P45)</f>
        <v>1361788</v>
      </c>
      <c r="Q46" s="212"/>
      <c r="R46" s="240">
        <f>SUM(R43:R45)</f>
        <v>1395398</v>
      </c>
      <c r="S46" s="212"/>
      <c r="T46" s="240">
        <f>SUM(T43:T45)</f>
        <v>1347239</v>
      </c>
      <c r="U46" s="212"/>
      <c r="V46" s="240">
        <f>SUM(V43:V45)</f>
        <v>1354464</v>
      </c>
      <c r="W46" s="212"/>
      <c r="X46" s="240">
        <f>SUM(X43:X45)</f>
        <v>1439401</v>
      </c>
      <c r="Y46" s="212"/>
      <c r="Z46" s="240">
        <f>SUM(Z43:Z45)</f>
        <v>1476927</v>
      </c>
      <c r="AB46" s="618"/>
      <c r="AC46" s="661">
        <f>AVERAGE(Z46,X46,V46,T46,R46)</f>
        <v>1402685.8</v>
      </c>
    </row>
    <row r="47" spans="1:32" x14ac:dyDescent="0.2">
      <c r="A47" s="3"/>
      <c r="B47" s="276" t="s">
        <v>50</v>
      </c>
      <c r="C47" s="313"/>
      <c r="D47" s="340">
        <v>0</v>
      </c>
      <c r="E47" s="188"/>
      <c r="F47" s="340">
        <v>0</v>
      </c>
      <c r="G47" s="188"/>
      <c r="H47" s="340"/>
      <c r="I47" s="208"/>
      <c r="J47" s="258"/>
      <c r="K47" s="228"/>
      <c r="L47" s="258"/>
      <c r="M47" s="228"/>
      <c r="N47" s="239"/>
      <c r="O47" s="208"/>
      <c r="P47" s="239"/>
      <c r="Q47" s="208"/>
      <c r="R47" s="239"/>
      <c r="S47" s="208"/>
      <c r="T47" s="239"/>
      <c r="U47" s="208"/>
      <c r="V47" s="239"/>
      <c r="W47" s="208"/>
      <c r="X47" s="239"/>
      <c r="Y47" s="208"/>
      <c r="Z47" s="239"/>
      <c r="AB47" s="618"/>
      <c r="AC47" s="661"/>
    </row>
    <row r="48" spans="1:32" x14ac:dyDescent="0.2">
      <c r="A48" s="3"/>
      <c r="B48" s="273" t="s">
        <v>48</v>
      </c>
      <c r="C48" s="313"/>
      <c r="D48" s="340">
        <v>0</v>
      </c>
      <c r="E48" s="188"/>
      <c r="F48" s="340">
        <v>0</v>
      </c>
      <c r="G48" s="188"/>
      <c r="H48" s="340"/>
      <c r="I48" s="208"/>
      <c r="J48" s="258"/>
      <c r="K48" s="228"/>
      <c r="L48" s="258"/>
      <c r="M48" s="228"/>
      <c r="N48" s="239"/>
      <c r="O48" s="208"/>
      <c r="P48" s="239"/>
      <c r="Q48" s="208"/>
      <c r="R48" s="239"/>
      <c r="S48" s="208"/>
      <c r="T48" s="239"/>
      <c r="U48" s="208"/>
      <c r="V48" s="239"/>
      <c r="W48" s="208"/>
      <c r="X48" s="239"/>
      <c r="Y48" s="208"/>
      <c r="Z48" s="239"/>
      <c r="AB48" s="618"/>
      <c r="AC48" s="661"/>
    </row>
    <row r="49" spans="1:29" x14ac:dyDescent="0.2">
      <c r="A49" s="3"/>
      <c r="B49" s="273"/>
      <c r="C49" s="313"/>
      <c r="D49" s="340"/>
      <c r="E49" s="188"/>
      <c r="F49" s="340"/>
      <c r="G49" s="188"/>
      <c r="H49" s="340"/>
      <c r="I49" s="208"/>
      <c r="J49" s="258"/>
      <c r="K49" s="228"/>
      <c r="L49" s="258"/>
      <c r="M49" s="228"/>
      <c r="N49" s="239"/>
      <c r="O49" s="208"/>
      <c r="P49" s="239"/>
      <c r="Q49" s="208"/>
      <c r="R49" s="239"/>
      <c r="S49" s="208"/>
      <c r="T49" s="239"/>
      <c r="U49" s="208"/>
      <c r="V49" s="239"/>
      <c r="W49" s="208"/>
      <c r="X49" s="239"/>
      <c r="Y49" s="208"/>
      <c r="Z49" s="239"/>
      <c r="AB49" s="618"/>
      <c r="AC49" s="661"/>
    </row>
    <row r="50" spans="1:29" ht="36" x14ac:dyDescent="0.2">
      <c r="A50" s="3"/>
      <c r="B50" s="274" t="s">
        <v>58</v>
      </c>
      <c r="C50" s="313"/>
      <c r="D50" s="340">
        <v>0</v>
      </c>
      <c r="E50" s="188"/>
      <c r="F50" s="340">
        <v>0</v>
      </c>
      <c r="G50" s="188"/>
      <c r="H50" s="340"/>
      <c r="I50" s="208"/>
      <c r="J50" s="258"/>
      <c r="K50" s="228"/>
      <c r="L50" s="258"/>
      <c r="M50" s="228"/>
      <c r="N50" s="239"/>
      <c r="O50" s="208"/>
      <c r="P50" s="239"/>
      <c r="Q50" s="208"/>
      <c r="R50" s="239"/>
      <c r="S50" s="208"/>
      <c r="T50" s="239"/>
      <c r="U50" s="208"/>
      <c r="V50" s="239"/>
      <c r="W50" s="208"/>
      <c r="X50" s="239"/>
      <c r="Y50" s="208"/>
      <c r="Z50" s="239"/>
      <c r="AB50" s="618"/>
      <c r="AC50" s="661"/>
    </row>
    <row r="51" spans="1:29" x14ac:dyDescent="0.2">
      <c r="A51" s="3"/>
      <c r="B51" s="275" t="s">
        <v>51</v>
      </c>
      <c r="C51" s="313"/>
      <c r="D51" s="340">
        <v>0</v>
      </c>
      <c r="E51" s="188"/>
      <c r="F51" s="340">
        <v>0</v>
      </c>
      <c r="G51" s="188"/>
      <c r="H51" s="340"/>
      <c r="I51" s="212"/>
      <c r="J51" s="259">
        <f>SUM(J48:J50)</f>
        <v>0</v>
      </c>
      <c r="K51" s="230"/>
      <c r="L51" s="259">
        <f>SUM(L48:L50)</f>
        <v>0</v>
      </c>
      <c r="M51" s="230"/>
      <c r="N51" s="240">
        <f>SUM(N48:N50)</f>
        <v>0</v>
      </c>
      <c r="O51" s="212"/>
      <c r="P51" s="240">
        <f>SUM(P48:P50)</f>
        <v>0</v>
      </c>
      <c r="Q51" s="212"/>
      <c r="R51" s="240">
        <f>SUM(R48:R50)</f>
        <v>0</v>
      </c>
      <c r="S51" s="212"/>
      <c r="T51" s="240">
        <f>SUM(T48:T50)</f>
        <v>0</v>
      </c>
      <c r="U51" s="212"/>
      <c r="V51" s="240">
        <f>SUM(V48:V50)</f>
        <v>0</v>
      </c>
      <c r="W51" s="212"/>
      <c r="X51" s="240">
        <f>SUM(X48:X50)</f>
        <v>0</v>
      </c>
      <c r="Y51" s="212"/>
      <c r="Z51" s="240">
        <f>SUM(Z48:Z50)</f>
        <v>0</v>
      </c>
      <c r="AB51" s="618"/>
      <c r="AC51" s="661">
        <f t="shared" ref="AC51:AC52" si="8">AVERAGE(Z51,X51,V51,T51,R51)</f>
        <v>0</v>
      </c>
    </row>
    <row r="52" spans="1:29" ht="13.5" thickBot="1" x14ac:dyDescent="0.25">
      <c r="A52" s="3"/>
      <c r="B52" s="277" t="s">
        <v>52</v>
      </c>
      <c r="C52" s="728"/>
      <c r="D52" s="729">
        <v>1259220</v>
      </c>
      <c r="E52" s="730"/>
      <c r="F52" s="729">
        <v>1902158</v>
      </c>
      <c r="G52" s="730"/>
      <c r="H52" s="729">
        <v>2043891</v>
      </c>
      <c r="I52" s="208"/>
      <c r="J52" s="259">
        <f>SUM(J46,J51)</f>
        <v>1904283</v>
      </c>
      <c r="K52" s="228"/>
      <c r="L52" s="259">
        <f>SUM(L46,L51)</f>
        <v>1967590</v>
      </c>
      <c r="M52" s="228"/>
      <c r="N52" s="789">
        <f>SUM(N46,N51)</f>
        <v>1956464</v>
      </c>
      <c r="O52" s="208"/>
      <c r="P52" s="240">
        <f>SUM(P46,P51)</f>
        <v>1361788</v>
      </c>
      <c r="Q52" s="208"/>
      <c r="R52" s="240">
        <f>SUM(R46,R51)</f>
        <v>1395398</v>
      </c>
      <c r="S52" s="208"/>
      <c r="T52" s="240">
        <f>SUM(T46,T51)</f>
        <v>1347239</v>
      </c>
      <c r="U52" s="208"/>
      <c r="V52" s="240">
        <f>SUM(V46,V51)</f>
        <v>1354464</v>
      </c>
      <c r="W52" s="208"/>
      <c r="X52" s="240">
        <f>SUM(X46,X51)</f>
        <v>1439401</v>
      </c>
      <c r="Y52" s="208"/>
      <c r="Z52" s="240">
        <f>SUM(Z46,Z51)</f>
        <v>1476927</v>
      </c>
      <c r="AB52" s="624"/>
      <c r="AC52" s="1024">
        <f t="shared" si="8"/>
        <v>1402685.8</v>
      </c>
    </row>
    <row r="53" spans="1:29" x14ac:dyDescent="0.2">
      <c r="A53" s="1"/>
      <c r="B53" s="278" t="s">
        <v>53</v>
      </c>
      <c r="C53" s="731"/>
      <c r="D53" s="477">
        <v>0</v>
      </c>
      <c r="E53" s="732"/>
      <c r="F53" s="477">
        <v>0</v>
      </c>
      <c r="G53" s="732"/>
      <c r="H53" s="477"/>
      <c r="I53" s="213"/>
      <c r="J53" s="213"/>
      <c r="K53" s="231"/>
      <c r="L53" s="213"/>
      <c r="M53" s="231"/>
      <c r="N53" s="344"/>
      <c r="O53" s="213"/>
      <c r="P53" s="344"/>
      <c r="Q53" s="213"/>
      <c r="R53" s="344"/>
      <c r="S53" s="213"/>
      <c r="T53" s="344"/>
      <c r="U53" s="213"/>
      <c r="V53" s="344"/>
      <c r="W53" s="213"/>
      <c r="X53" s="344"/>
      <c r="Y53" s="213"/>
      <c r="Z53" s="344"/>
      <c r="AB53" s="616"/>
      <c r="AC53" s="1026"/>
    </row>
    <row r="54" spans="1:29" x14ac:dyDescent="0.2">
      <c r="A54" s="1"/>
      <c r="B54" s="50" t="s">
        <v>14</v>
      </c>
      <c r="C54" s="313"/>
      <c r="D54" s="340">
        <v>1349012</v>
      </c>
      <c r="E54" s="188"/>
      <c r="F54" s="340">
        <v>1410889</v>
      </c>
      <c r="G54" s="188"/>
      <c r="H54" s="340">
        <v>1599686</v>
      </c>
      <c r="I54" s="214"/>
      <c r="J54" s="480">
        <v>1488552</v>
      </c>
      <c r="K54" s="232"/>
      <c r="L54" s="314">
        <f>1173727+258069+24482</f>
        <v>1456278</v>
      </c>
      <c r="M54" s="232"/>
      <c r="N54" s="801">
        <v>1439227</v>
      </c>
      <c r="O54" s="1074"/>
      <c r="P54" s="1076">
        <v>1477321</v>
      </c>
      <c r="Q54" s="1074"/>
      <c r="R54" s="1076">
        <v>1488875</v>
      </c>
      <c r="S54" s="1074"/>
      <c r="T54" s="1076">
        <v>1462989</v>
      </c>
      <c r="U54" s="1074"/>
      <c r="V54" s="1076">
        <v>1490513</v>
      </c>
      <c r="W54" s="1074"/>
      <c r="X54" s="1076">
        <v>1599750.22</v>
      </c>
      <c r="Y54" s="1074"/>
      <c r="Z54" s="1072"/>
      <c r="AB54" s="618"/>
      <c r="AC54" s="662">
        <f>AVERAGE(P54,X54,V54,T54,R54)</f>
        <v>1503889.6439999999</v>
      </c>
    </row>
    <row r="55" spans="1:29" ht="13.5" thickBot="1" x14ac:dyDescent="0.25">
      <c r="A55" s="1"/>
      <c r="B55" s="279" t="s">
        <v>15</v>
      </c>
      <c r="C55" s="728"/>
      <c r="D55" s="729">
        <v>2710</v>
      </c>
      <c r="E55" s="730"/>
      <c r="F55" s="729">
        <v>0</v>
      </c>
      <c r="G55" s="730"/>
      <c r="H55" s="340">
        <v>0</v>
      </c>
      <c r="I55" s="215"/>
      <c r="J55" s="481">
        <v>0</v>
      </c>
      <c r="K55" s="233"/>
      <c r="L55" s="317">
        <v>0</v>
      </c>
      <c r="M55" s="233"/>
      <c r="N55" s="802">
        <v>0</v>
      </c>
      <c r="O55" s="215"/>
      <c r="P55" s="318">
        <v>0</v>
      </c>
      <c r="Q55" s="215"/>
      <c r="R55" s="318">
        <v>0</v>
      </c>
      <c r="S55" s="215"/>
      <c r="T55" s="318">
        <v>0</v>
      </c>
      <c r="U55" s="215"/>
      <c r="V55" s="318">
        <v>0</v>
      </c>
      <c r="W55" s="215"/>
      <c r="X55" s="318">
        <v>0</v>
      </c>
      <c r="Y55" s="215"/>
      <c r="Z55" s="1178"/>
      <c r="AB55" s="624"/>
      <c r="AC55" s="663">
        <f>AVERAGE(P55,X55,V55,T55,R55)</f>
        <v>0</v>
      </c>
    </row>
    <row r="56" spans="1:29" x14ac:dyDescent="0.2">
      <c r="A56" s="1"/>
      <c r="B56" s="49"/>
      <c r="C56" s="216" t="s">
        <v>82</v>
      </c>
      <c r="D56" s="345" t="s">
        <v>88</v>
      </c>
      <c r="E56" s="216" t="s">
        <v>82</v>
      </c>
      <c r="F56" s="345" t="s">
        <v>88</v>
      </c>
      <c r="G56" s="216" t="s">
        <v>82</v>
      </c>
      <c r="H56" s="345" t="s">
        <v>88</v>
      </c>
      <c r="I56" s="216" t="s">
        <v>82</v>
      </c>
      <c r="J56" s="359" t="s">
        <v>88</v>
      </c>
      <c r="K56" s="234" t="s">
        <v>82</v>
      </c>
      <c r="L56" s="359" t="s">
        <v>88</v>
      </c>
      <c r="M56" s="234" t="s">
        <v>82</v>
      </c>
      <c r="N56" s="345" t="s">
        <v>88</v>
      </c>
      <c r="O56" s="216" t="s">
        <v>82</v>
      </c>
      <c r="P56" s="345" t="s">
        <v>88</v>
      </c>
      <c r="Q56" s="216" t="s">
        <v>82</v>
      </c>
      <c r="R56" s="345" t="s">
        <v>88</v>
      </c>
      <c r="S56" s="216" t="s">
        <v>82</v>
      </c>
      <c r="T56" s="345" t="s">
        <v>88</v>
      </c>
      <c r="U56" s="216" t="s">
        <v>82</v>
      </c>
      <c r="V56" s="345" t="s">
        <v>88</v>
      </c>
      <c r="W56" s="216" t="s">
        <v>82</v>
      </c>
      <c r="X56" s="345" t="s">
        <v>88</v>
      </c>
      <c r="Y56" s="216" t="s">
        <v>82</v>
      </c>
      <c r="Z56" s="345" t="s">
        <v>88</v>
      </c>
      <c r="AB56" s="667" t="s">
        <v>82</v>
      </c>
      <c r="AC56" s="787"/>
    </row>
    <row r="57" spans="1:29" x14ac:dyDescent="0.2">
      <c r="A57" s="1"/>
      <c r="B57" s="52" t="s">
        <v>37</v>
      </c>
      <c r="C57" s="733">
        <v>3</v>
      </c>
      <c r="D57" s="340">
        <v>432698</v>
      </c>
      <c r="E57" s="734">
        <v>1</v>
      </c>
      <c r="F57" s="340">
        <v>0</v>
      </c>
      <c r="G57" s="734">
        <v>1</v>
      </c>
      <c r="H57" s="340">
        <v>0</v>
      </c>
      <c r="I57" s="458">
        <v>1</v>
      </c>
      <c r="J57" s="507">
        <v>0</v>
      </c>
      <c r="K57" s="458">
        <v>1</v>
      </c>
      <c r="L57" s="427">
        <v>13270</v>
      </c>
      <c r="M57" s="815">
        <v>2</v>
      </c>
      <c r="N57" s="412">
        <v>19579</v>
      </c>
      <c r="O57" s="815">
        <v>3</v>
      </c>
      <c r="P57" s="412">
        <v>499894</v>
      </c>
      <c r="Q57" s="815">
        <v>0</v>
      </c>
      <c r="R57" s="1152">
        <v>0</v>
      </c>
      <c r="S57" s="815">
        <v>1</v>
      </c>
      <c r="T57" s="1152">
        <v>167936</v>
      </c>
      <c r="U57" s="815">
        <v>1</v>
      </c>
      <c r="V57" s="1152">
        <v>3747</v>
      </c>
      <c r="W57" s="815">
        <v>1</v>
      </c>
      <c r="X57" s="1152">
        <v>27026</v>
      </c>
      <c r="Y57" s="759"/>
      <c r="Z57" s="897"/>
      <c r="AB57" s="665">
        <f t="shared" ref="AB57:AC57" si="9">AVERAGE(Y57,W57,U57,S57,Q57)</f>
        <v>0.75</v>
      </c>
      <c r="AC57" s="662">
        <f t="shared" si="9"/>
        <v>49677.25</v>
      </c>
    </row>
    <row r="58" spans="1:29" x14ac:dyDescent="0.2">
      <c r="A58" s="1"/>
      <c r="B58" s="52"/>
      <c r="C58" s="733"/>
      <c r="D58" s="340"/>
      <c r="E58" s="734"/>
      <c r="F58" s="340"/>
      <c r="G58" s="734"/>
      <c r="H58" s="340"/>
      <c r="I58" s="459"/>
      <c r="J58" s="508"/>
      <c r="K58" s="459"/>
      <c r="L58" s="417"/>
      <c r="M58" s="468"/>
      <c r="N58" s="823"/>
      <c r="O58" s="468"/>
      <c r="P58" s="823"/>
      <c r="Q58" s="468"/>
      <c r="R58" s="823"/>
      <c r="S58" s="468"/>
      <c r="T58" s="823"/>
      <c r="U58" s="468"/>
      <c r="V58" s="823"/>
      <c r="W58" s="468"/>
      <c r="X58" s="823"/>
      <c r="Y58" s="760"/>
      <c r="Z58" s="898"/>
      <c r="AB58" s="666"/>
      <c r="AC58" s="662"/>
    </row>
    <row r="59" spans="1:29" ht="13.5" thickBot="1" x14ac:dyDescent="0.25">
      <c r="A59" s="1"/>
      <c r="B59" s="485" t="s">
        <v>16</v>
      </c>
      <c r="C59" s="735">
        <v>1</v>
      </c>
      <c r="D59" s="729">
        <v>39998</v>
      </c>
      <c r="E59" s="736">
        <v>0</v>
      </c>
      <c r="F59" s="729">
        <v>0</v>
      </c>
      <c r="G59" s="736">
        <v>0</v>
      </c>
      <c r="H59" s="729">
        <v>0</v>
      </c>
      <c r="I59" s="460">
        <v>1</v>
      </c>
      <c r="J59" s="509">
        <v>0</v>
      </c>
      <c r="K59" s="460">
        <v>1</v>
      </c>
      <c r="L59" s="428">
        <v>3500</v>
      </c>
      <c r="M59" s="473">
        <v>0</v>
      </c>
      <c r="N59" s="824">
        <v>0</v>
      </c>
      <c r="O59" s="473">
        <v>0</v>
      </c>
      <c r="P59" s="824">
        <v>0</v>
      </c>
      <c r="Q59" s="473">
        <v>0</v>
      </c>
      <c r="R59" s="824">
        <v>0</v>
      </c>
      <c r="S59" s="473">
        <v>0</v>
      </c>
      <c r="T59" s="824">
        <v>0</v>
      </c>
      <c r="U59" s="473">
        <v>0</v>
      </c>
      <c r="V59" s="824">
        <v>0</v>
      </c>
      <c r="W59" s="473">
        <v>1</v>
      </c>
      <c r="X59" s="824">
        <v>27026</v>
      </c>
      <c r="Y59" s="758"/>
      <c r="Z59" s="1151"/>
      <c r="AB59" s="786">
        <f t="shared" ref="AB59:AC59" si="10">AVERAGE(Y59,W59,U59,S59,Q59)</f>
        <v>0.25</v>
      </c>
      <c r="AC59" s="663">
        <f t="shared" si="10"/>
        <v>6756.5</v>
      </c>
    </row>
    <row r="60" spans="1:29" x14ac:dyDescent="0.2">
      <c r="A60" s="1"/>
      <c r="B60" s="45" t="s">
        <v>59</v>
      </c>
      <c r="C60" s="737"/>
      <c r="D60" s="477"/>
      <c r="E60" s="738"/>
      <c r="F60" s="477"/>
      <c r="G60" s="738"/>
      <c r="H60" s="477"/>
      <c r="I60" s="221"/>
      <c r="J60" s="394"/>
      <c r="K60" s="263"/>
      <c r="L60" s="394"/>
      <c r="M60" s="263"/>
      <c r="N60" s="790"/>
      <c r="O60" s="221"/>
      <c r="P60" s="790"/>
      <c r="Q60" s="221"/>
      <c r="R60" s="790"/>
      <c r="S60" s="221"/>
      <c r="T60" s="790"/>
      <c r="U60" s="221"/>
      <c r="V60" s="790"/>
      <c r="W60" s="221"/>
      <c r="X60" s="790"/>
      <c r="Y60" s="221"/>
      <c r="Z60" s="790"/>
      <c r="AB60" s="616"/>
      <c r="AC60" s="787"/>
    </row>
    <row r="61" spans="1:29" x14ac:dyDescent="0.2">
      <c r="A61" s="1"/>
      <c r="B61" s="280" t="s">
        <v>60</v>
      </c>
      <c r="C61" s="739"/>
      <c r="D61" s="740"/>
      <c r="E61" s="741"/>
      <c r="F61" s="740"/>
      <c r="G61" s="741"/>
      <c r="H61" s="740"/>
      <c r="I61" s="220"/>
      <c r="J61" s="137"/>
      <c r="K61" s="262"/>
      <c r="L61" s="137"/>
      <c r="M61" s="262"/>
      <c r="N61" s="349"/>
      <c r="O61" s="220"/>
      <c r="P61" s="349"/>
      <c r="Q61" s="220"/>
      <c r="R61" s="349"/>
      <c r="S61" s="220"/>
      <c r="T61" s="349"/>
      <c r="U61" s="220"/>
      <c r="V61" s="349"/>
      <c r="W61" s="220"/>
      <c r="X61" s="349"/>
      <c r="Y61" s="220"/>
      <c r="Z61" s="349"/>
      <c r="AB61" s="618"/>
      <c r="AC61" s="662"/>
    </row>
    <row r="62" spans="1:29" x14ac:dyDescent="0.2">
      <c r="A62" s="1"/>
      <c r="B62" s="486" t="s">
        <v>61</v>
      </c>
      <c r="C62" s="737"/>
      <c r="D62" s="742">
        <v>0</v>
      </c>
      <c r="E62" s="743"/>
      <c r="F62" s="742">
        <v>0</v>
      </c>
      <c r="G62" s="743"/>
      <c r="H62" s="742">
        <v>0</v>
      </c>
      <c r="I62" s="221"/>
      <c r="J62" s="382">
        <v>10000</v>
      </c>
      <c r="K62" s="263"/>
      <c r="L62" s="382">
        <v>225</v>
      </c>
      <c r="M62" s="263"/>
      <c r="N62" s="424">
        <f>2025</f>
        <v>2025</v>
      </c>
      <c r="O62" s="221"/>
      <c r="P62" s="424">
        <f>2000</f>
        <v>2000</v>
      </c>
      <c r="Q62" s="221"/>
      <c r="R62" s="424">
        <v>4225</v>
      </c>
      <c r="S62" s="221"/>
      <c r="T62" s="424">
        <v>4200</v>
      </c>
      <c r="U62" s="221"/>
      <c r="V62" s="424">
        <v>3887.5</v>
      </c>
      <c r="W62" s="221"/>
      <c r="X62" s="424">
        <v>4062.5</v>
      </c>
      <c r="Y62" s="221"/>
      <c r="Z62" s="1139"/>
      <c r="AB62" s="618"/>
      <c r="AC62" s="662">
        <f t="shared" ref="AC62:AC63" si="11">AVERAGE(P62,X62,V62,T62,R62)</f>
        <v>3675</v>
      </c>
    </row>
    <row r="63" spans="1:29" ht="13.5" thickBot="1" x14ac:dyDescent="0.25">
      <c r="A63" s="1"/>
      <c r="B63" s="487" t="s">
        <v>62</v>
      </c>
      <c r="C63" s="744"/>
      <c r="D63" s="745">
        <v>0</v>
      </c>
      <c r="E63" s="746"/>
      <c r="F63" s="745">
        <v>0</v>
      </c>
      <c r="G63" s="746"/>
      <c r="H63" s="745">
        <v>0</v>
      </c>
      <c r="I63" s="222"/>
      <c r="J63" s="383">
        <v>0</v>
      </c>
      <c r="K63" s="264"/>
      <c r="L63" s="383">
        <v>0</v>
      </c>
      <c r="M63" s="264"/>
      <c r="N63" s="425">
        <v>0</v>
      </c>
      <c r="O63" s="222"/>
      <c r="P63" s="425">
        <v>0</v>
      </c>
      <c r="Q63" s="222"/>
      <c r="R63" s="425">
        <v>0</v>
      </c>
      <c r="S63" s="222"/>
      <c r="T63" s="425">
        <v>0</v>
      </c>
      <c r="U63" s="222"/>
      <c r="V63" s="425">
        <v>0</v>
      </c>
      <c r="W63" s="222"/>
      <c r="X63" s="425">
        <v>0</v>
      </c>
      <c r="Y63" s="222"/>
      <c r="Z63" s="1140"/>
      <c r="AB63" s="620"/>
      <c r="AC63" s="664">
        <f t="shared" si="11"/>
        <v>0</v>
      </c>
    </row>
    <row r="64" spans="1:29" ht="6.75" customHeight="1" thickTop="1" x14ac:dyDescent="0.2">
      <c r="A64" s="1"/>
      <c r="B64" s="82"/>
      <c r="C64" s="478"/>
      <c r="D64" s="478"/>
      <c r="E64" s="478"/>
      <c r="F64" s="478"/>
      <c r="G64" s="478"/>
      <c r="H64" s="478"/>
      <c r="I64" s="220"/>
      <c r="J64" s="216"/>
      <c r="K64" s="220"/>
      <c r="L64" s="216"/>
      <c r="M64" s="220"/>
      <c r="N64" s="216"/>
      <c r="O64" s="220"/>
      <c r="P64" s="216"/>
      <c r="Q64" s="220"/>
      <c r="R64" s="216"/>
      <c r="S64" s="220"/>
      <c r="T64" s="216"/>
      <c r="U64" s="220"/>
      <c r="V64" s="216"/>
      <c r="W64" s="220"/>
      <c r="X64" s="216"/>
      <c r="Y64" s="220"/>
      <c r="Z64" s="216"/>
      <c r="AB64" s="724"/>
      <c r="AC64" s="724"/>
    </row>
    <row r="65" spans="1:29" x14ac:dyDescent="0.2">
      <c r="A65" s="3" t="s">
        <v>55</v>
      </c>
      <c r="B65" s="82"/>
      <c r="C65" s="478"/>
      <c r="D65" s="478"/>
      <c r="E65" s="478"/>
      <c r="F65" s="478"/>
      <c r="G65" s="478"/>
      <c r="H65" s="478"/>
      <c r="I65" s="220"/>
      <c r="J65" s="216"/>
      <c r="K65" s="220"/>
      <c r="L65" s="216"/>
      <c r="M65" s="220"/>
      <c r="N65" s="216"/>
      <c r="O65" s="220"/>
      <c r="P65" s="216"/>
      <c r="Q65" s="220"/>
      <c r="R65" s="216"/>
      <c r="S65" s="220"/>
      <c r="T65" s="216"/>
      <c r="U65" s="220"/>
      <c r="V65" s="216"/>
      <c r="W65" s="220"/>
      <c r="X65" s="216"/>
      <c r="Y65" s="220"/>
      <c r="Z65" s="216"/>
    </row>
    <row r="66" spans="1:29" ht="13.5" thickBot="1" x14ac:dyDescent="0.25">
      <c r="A66" s="1"/>
      <c r="B66" s="82"/>
      <c r="C66" s="479"/>
      <c r="D66" s="479"/>
      <c r="E66" s="479"/>
      <c r="F66" s="479"/>
      <c r="G66" s="479"/>
      <c r="H66" s="479"/>
      <c r="I66" s="220"/>
      <c r="J66" s="216"/>
      <c r="K66" s="220"/>
      <c r="L66" s="216"/>
      <c r="M66" s="220"/>
      <c r="N66" s="216"/>
      <c r="O66" s="220"/>
      <c r="P66" s="216"/>
      <c r="Q66" s="220"/>
      <c r="R66" s="216"/>
      <c r="S66" s="220"/>
      <c r="T66" s="216"/>
      <c r="U66" s="220"/>
      <c r="V66" s="216"/>
      <c r="W66" s="220"/>
      <c r="X66" s="216"/>
      <c r="Y66" s="220"/>
      <c r="Z66" s="216"/>
    </row>
    <row r="67" spans="1:29" ht="14.25" thickTop="1" thickBot="1" x14ac:dyDescent="0.25">
      <c r="A67" s="1"/>
      <c r="B67" s="270"/>
      <c r="C67" s="1330" t="s">
        <v>28</v>
      </c>
      <c r="D67" s="1331"/>
      <c r="E67" s="1339" t="s">
        <v>29</v>
      </c>
      <c r="F67" s="1331"/>
      <c r="G67" s="1339" t="s">
        <v>89</v>
      </c>
      <c r="H67" s="1331"/>
      <c r="I67" s="1220" t="s">
        <v>99</v>
      </c>
      <c r="J67" s="1220"/>
      <c r="K67" s="1231" t="s">
        <v>101</v>
      </c>
      <c r="L67" s="1220"/>
      <c r="M67" s="1231" t="s">
        <v>106</v>
      </c>
      <c r="N67" s="1221"/>
      <c r="O67" s="1220" t="s">
        <v>155</v>
      </c>
      <c r="P67" s="1221"/>
      <c r="Q67" s="1220" t="s">
        <v>160</v>
      </c>
      <c r="R67" s="1221"/>
      <c r="S67" s="1220" t="s">
        <v>179</v>
      </c>
      <c r="T67" s="1221"/>
      <c r="U67" s="1220" t="s">
        <v>189</v>
      </c>
      <c r="V67" s="1221"/>
      <c r="W67" s="1220" t="s">
        <v>194</v>
      </c>
      <c r="X67" s="1221"/>
      <c r="Y67" s="1220" t="s">
        <v>198</v>
      </c>
      <c r="Z67" s="1221"/>
      <c r="AB67" s="1350" t="s">
        <v>142</v>
      </c>
      <c r="AC67" s="1351"/>
    </row>
    <row r="68" spans="1:29" x14ac:dyDescent="0.2">
      <c r="A68" s="1"/>
      <c r="B68" s="278" t="s">
        <v>33</v>
      </c>
      <c r="C68" s="207"/>
      <c r="D68" s="477"/>
      <c r="E68" s="207"/>
      <c r="F68" s="477"/>
      <c r="G68" s="207"/>
      <c r="H68" s="477"/>
      <c r="I68" s="207"/>
      <c r="J68" s="207"/>
      <c r="K68" s="229"/>
      <c r="L68" s="207"/>
      <c r="M68" s="229"/>
      <c r="N68" s="339"/>
      <c r="O68" s="207"/>
      <c r="P68" s="339"/>
      <c r="Q68" s="207"/>
      <c r="R68" s="339"/>
      <c r="S68" s="207"/>
      <c r="T68" s="339"/>
      <c r="U68" s="207"/>
      <c r="V68" s="339"/>
      <c r="W68" s="207"/>
      <c r="X68" s="339"/>
      <c r="Y68" s="207"/>
      <c r="Z68" s="339"/>
      <c r="AB68" s="616"/>
      <c r="AC68" s="617"/>
    </row>
    <row r="69" spans="1:29" x14ac:dyDescent="0.2">
      <c r="A69" s="1"/>
      <c r="B69" s="46" t="s">
        <v>34</v>
      </c>
      <c r="C69" s="208"/>
      <c r="D69" s="340"/>
      <c r="E69" s="208"/>
      <c r="F69" s="340"/>
      <c r="G69" s="208"/>
      <c r="H69" s="340"/>
      <c r="I69" s="208"/>
      <c r="J69" s="313"/>
      <c r="K69" s="228"/>
      <c r="L69" s="313"/>
      <c r="M69" s="228"/>
      <c r="N69" s="340"/>
      <c r="O69" s="208"/>
      <c r="P69" s="340"/>
      <c r="Q69" s="208"/>
      <c r="R69" s="340"/>
      <c r="S69" s="208"/>
      <c r="T69" s="340"/>
      <c r="U69" s="208"/>
      <c r="V69" s="340"/>
      <c r="W69" s="208"/>
      <c r="X69" s="340"/>
      <c r="Y69" s="208"/>
      <c r="Z69" s="340"/>
      <c r="AB69" s="618"/>
      <c r="AC69" s="619"/>
    </row>
    <row r="70" spans="1:29" x14ac:dyDescent="0.2">
      <c r="A70" s="1"/>
      <c r="B70" s="47" t="s">
        <v>35</v>
      </c>
      <c r="C70" s="208"/>
      <c r="D70" s="340">
        <v>10</v>
      </c>
      <c r="E70" s="208"/>
      <c r="F70" s="340">
        <v>9</v>
      </c>
      <c r="G70" s="208"/>
      <c r="H70" s="340">
        <v>14</v>
      </c>
      <c r="I70" s="208"/>
      <c r="J70" s="313">
        <v>13</v>
      </c>
      <c r="K70" s="228"/>
      <c r="L70" s="313">
        <v>12</v>
      </c>
      <c r="M70" s="228"/>
      <c r="N70" s="340">
        <v>12</v>
      </c>
      <c r="O70" s="208"/>
      <c r="P70" s="340">
        <v>12</v>
      </c>
      <c r="Q70" s="208"/>
      <c r="R70" s="340">
        <v>13</v>
      </c>
      <c r="S70" s="208"/>
      <c r="T70" s="340">
        <v>12</v>
      </c>
      <c r="U70" s="208"/>
      <c r="V70" s="340">
        <v>15</v>
      </c>
      <c r="W70" s="208"/>
      <c r="X70" s="340">
        <v>15</v>
      </c>
      <c r="Y70" s="208"/>
      <c r="Z70" s="340">
        <v>16</v>
      </c>
      <c r="AB70" s="668"/>
      <c r="AC70" s="661">
        <f t="shared" ref="AC70:AC71" si="12">AVERAGE(Z70,X70,V70,T70,R70)</f>
        <v>14.2</v>
      </c>
    </row>
    <row r="71" spans="1:29" x14ac:dyDescent="0.2">
      <c r="A71" s="1"/>
      <c r="B71" s="47" t="s">
        <v>139</v>
      </c>
      <c r="C71" s="208"/>
      <c r="D71" s="340">
        <v>5</v>
      </c>
      <c r="E71" s="208"/>
      <c r="F71" s="340">
        <v>4</v>
      </c>
      <c r="G71" s="208"/>
      <c r="H71" s="340">
        <v>2</v>
      </c>
      <c r="I71" s="208"/>
      <c r="J71" s="313">
        <v>1</v>
      </c>
      <c r="K71" s="228"/>
      <c r="L71" s="313">
        <v>1</v>
      </c>
      <c r="M71" s="228"/>
      <c r="N71" s="340">
        <v>3</v>
      </c>
      <c r="O71" s="208"/>
      <c r="P71" s="340">
        <v>2</v>
      </c>
      <c r="Q71" s="208"/>
      <c r="R71" s="340">
        <v>2</v>
      </c>
      <c r="S71" s="208"/>
      <c r="T71" s="340">
        <v>8</v>
      </c>
      <c r="U71" s="208"/>
      <c r="V71" s="340">
        <v>8</v>
      </c>
      <c r="W71" s="208"/>
      <c r="X71" s="340">
        <v>11</v>
      </c>
      <c r="Y71" s="208"/>
      <c r="Z71" s="340">
        <v>10</v>
      </c>
      <c r="AB71" s="668"/>
      <c r="AC71" s="661">
        <f t="shared" si="12"/>
        <v>7.8</v>
      </c>
    </row>
    <row r="72" spans="1:29" x14ac:dyDescent="0.2">
      <c r="A72" s="1"/>
      <c r="B72" s="46" t="s">
        <v>36</v>
      </c>
      <c r="C72" s="208"/>
      <c r="D72" s="340">
        <v>0</v>
      </c>
      <c r="E72" s="208"/>
      <c r="F72" s="340">
        <v>0</v>
      </c>
      <c r="G72" s="208"/>
      <c r="H72" s="340">
        <v>0</v>
      </c>
      <c r="I72" s="208"/>
      <c r="J72" s="384"/>
      <c r="K72" s="228"/>
      <c r="L72" s="384"/>
      <c r="M72" s="228"/>
      <c r="N72" s="341"/>
      <c r="O72" s="208"/>
      <c r="P72" s="341"/>
      <c r="Q72" s="208"/>
      <c r="R72" s="341"/>
      <c r="S72" s="208"/>
      <c r="T72" s="341"/>
      <c r="U72" s="208"/>
      <c r="V72" s="341"/>
      <c r="W72" s="208"/>
      <c r="X72" s="341"/>
      <c r="Y72" s="208"/>
      <c r="Z72" s="341"/>
      <c r="AB72" s="668"/>
      <c r="AC72" s="661"/>
    </row>
    <row r="73" spans="1:29" x14ac:dyDescent="0.2">
      <c r="A73" s="1"/>
      <c r="B73" s="47" t="s">
        <v>35</v>
      </c>
      <c r="C73" s="208"/>
      <c r="D73" s="340">
        <v>0</v>
      </c>
      <c r="E73" s="208"/>
      <c r="F73" s="340">
        <v>0</v>
      </c>
      <c r="G73" s="208"/>
      <c r="H73" s="340">
        <v>0</v>
      </c>
      <c r="I73" s="208"/>
      <c r="J73" s="384">
        <v>0</v>
      </c>
      <c r="K73" s="228"/>
      <c r="L73" s="384">
        <v>0</v>
      </c>
      <c r="M73" s="228"/>
      <c r="N73" s="341">
        <v>1</v>
      </c>
      <c r="O73" s="208"/>
      <c r="P73" s="341">
        <v>0</v>
      </c>
      <c r="Q73" s="208"/>
      <c r="R73" s="341">
        <v>0</v>
      </c>
      <c r="S73" s="208"/>
      <c r="T73" s="341">
        <v>0</v>
      </c>
      <c r="U73" s="208"/>
      <c r="V73" s="341">
        <v>0</v>
      </c>
      <c r="W73" s="208"/>
      <c r="X73" s="341">
        <v>0</v>
      </c>
      <c r="Y73" s="208"/>
      <c r="Z73" s="341">
        <v>0</v>
      </c>
      <c r="AB73" s="668"/>
      <c r="AC73" s="661">
        <f t="shared" ref="AC73:AC75" si="13">AVERAGE(Z73,X73,V73,T73,R73)</f>
        <v>0</v>
      </c>
    </row>
    <row r="74" spans="1:29" x14ac:dyDescent="0.2">
      <c r="A74" s="1"/>
      <c r="B74" s="283" t="s">
        <v>139</v>
      </c>
      <c r="C74" s="208"/>
      <c r="D74" s="340">
        <v>1</v>
      </c>
      <c r="E74" s="208"/>
      <c r="F74" s="340">
        <v>1</v>
      </c>
      <c r="G74" s="208"/>
      <c r="H74" s="340">
        <v>0</v>
      </c>
      <c r="I74" s="208"/>
      <c r="J74" s="384">
        <v>0</v>
      </c>
      <c r="K74" s="228"/>
      <c r="L74" s="384">
        <v>1</v>
      </c>
      <c r="M74" s="228"/>
      <c r="N74" s="341">
        <v>1</v>
      </c>
      <c r="O74" s="208"/>
      <c r="P74" s="341">
        <v>1</v>
      </c>
      <c r="Q74" s="208"/>
      <c r="R74" s="341">
        <v>0</v>
      </c>
      <c r="S74" s="208"/>
      <c r="T74" s="341">
        <v>0</v>
      </c>
      <c r="U74" s="208"/>
      <c r="V74" s="341">
        <v>0</v>
      </c>
      <c r="W74" s="208"/>
      <c r="X74" s="341">
        <v>0</v>
      </c>
      <c r="Y74" s="208"/>
      <c r="Z74" s="341">
        <v>0</v>
      </c>
      <c r="AB74" s="668"/>
      <c r="AC74" s="661">
        <f t="shared" si="13"/>
        <v>0</v>
      </c>
    </row>
    <row r="75" spans="1:29" ht="13.5" thickBot="1" x14ac:dyDescent="0.25">
      <c r="A75" s="1"/>
      <c r="B75" s="51" t="s">
        <v>13</v>
      </c>
      <c r="C75" s="223"/>
      <c r="D75" s="747">
        <v>16</v>
      </c>
      <c r="E75" s="223"/>
      <c r="F75" s="747">
        <v>14</v>
      </c>
      <c r="G75" s="223"/>
      <c r="H75" s="747">
        <v>16</v>
      </c>
      <c r="I75" s="223"/>
      <c r="J75" s="307">
        <f>SUM(J70:J74)</f>
        <v>14</v>
      </c>
      <c r="K75" s="301"/>
      <c r="L75" s="307">
        <f>SUM(L70:L74)</f>
        <v>14</v>
      </c>
      <c r="M75" s="301"/>
      <c r="N75" s="342">
        <f>SUM(N70:N74)</f>
        <v>17</v>
      </c>
      <c r="O75" s="223"/>
      <c r="P75" s="342">
        <f>SUM(P70:P74)</f>
        <v>15</v>
      </c>
      <c r="Q75" s="223"/>
      <c r="R75" s="342">
        <f>SUM(R70:R74)</f>
        <v>15</v>
      </c>
      <c r="S75" s="223"/>
      <c r="T75" s="342">
        <f>SUM(T70:T74)</f>
        <v>20</v>
      </c>
      <c r="U75" s="223"/>
      <c r="V75" s="342">
        <f>SUM(V70:V74)</f>
        <v>23</v>
      </c>
      <c r="W75" s="223"/>
      <c r="X75" s="342">
        <f>SUM(X70:X74)</f>
        <v>26</v>
      </c>
      <c r="Y75" s="223"/>
      <c r="Z75" s="342">
        <f>SUM(Z70:Z74)</f>
        <v>26</v>
      </c>
      <c r="AA75" s="578"/>
      <c r="AB75" s="669"/>
      <c r="AC75" s="690">
        <f t="shared" si="13"/>
        <v>22</v>
      </c>
    </row>
    <row r="76" spans="1:29" ht="13.5" thickTop="1" x14ac:dyDescent="0.2">
      <c r="A76" s="1"/>
      <c r="B76" s="112" t="s">
        <v>84</v>
      </c>
      <c r="C76" s="482"/>
      <c r="D76" s="477"/>
      <c r="E76" s="483"/>
      <c r="F76" s="477"/>
      <c r="G76" s="1013" t="s">
        <v>82</v>
      </c>
      <c r="H76" s="1014" t="s">
        <v>83</v>
      </c>
      <c r="I76" s="1013" t="s">
        <v>82</v>
      </c>
      <c r="J76" s="1014" t="s">
        <v>83</v>
      </c>
      <c r="K76" s="1013" t="s">
        <v>82</v>
      </c>
      <c r="L76" s="1014" t="s">
        <v>83</v>
      </c>
      <c r="M76" s="1013" t="s">
        <v>82</v>
      </c>
      <c r="N76" s="1014" t="s">
        <v>83</v>
      </c>
      <c r="O76" s="1013" t="s">
        <v>82</v>
      </c>
      <c r="P76" s="1014" t="s">
        <v>83</v>
      </c>
      <c r="Q76" s="1013" t="s">
        <v>82</v>
      </c>
      <c r="R76" s="1014" t="s">
        <v>83</v>
      </c>
      <c r="S76" s="1013" t="s">
        <v>82</v>
      </c>
      <c r="T76" s="1014" t="s">
        <v>83</v>
      </c>
      <c r="U76" s="1013" t="s">
        <v>82</v>
      </c>
      <c r="V76" s="1014" t="s">
        <v>83</v>
      </c>
      <c r="W76" s="1013" t="s">
        <v>82</v>
      </c>
      <c r="X76" s="1014" t="s">
        <v>83</v>
      </c>
      <c r="Y76" s="1013" t="s">
        <v>82</v>
      </c>
      <c r="Z76" s="1014" t="s">
        <v>83</v>
      </c>
      <c r="AB76" s="670"/>
      <c r="AC76" s="671"/>
    </row>
    <row r="77" spans="1:29" x14ac:dyDescent="0.2">
      <c r="A77" s="1"/>
      <c r="B77" s="110" t="s">
        <v>66</v>
      </c>
      <c r="C77" s="181">
        <v>14</v>
      </c>
      <c r="D77" s="488">
        <f>C77/(SUM(C$77:C$84))</f>
        <v>0.875</v>
      </c>
      <c r="E77" s="191">
        <v>12</v>
      </c>
      <c r="F77" s="488">
        <v>0.8571428571428571</v>
      </c>
      <c r="G77" s="191">
        <v>13</v>
      </c>
      <c r="H77" s="488">
        <v>0.8125</v>
      </c>
      <c r="I77" s="371">
        <v>12</v>
      </c>
      <c r="J77" s="488">
        <f t="shared" ref="J77:J84" si="14">I77/(SUM(I$77:I$84))</f>
        <v>0.8571428571428571</v>
      </c>
      <c r="K77" s="371">
        <v>12</v>
      </c>
      <c r="L77" s="497">
        <f t="shared" ref="L77:N84" si="15">K77/(SUM(K$77:K$84))</f>
        <v>0.8571428571428571</v>
      </c>
      <c r="M77" s="172">
        <v>15</v>
      </c>
      <c r="N77" s="791">
        <f>M77/(SUM(M$77:M$84))</f>
        <v>0.88235294117647056</v>
      </c>
      <c r="O77" s="114">
        <v>13</v>
      </c>
      <c r="P77" s="791">
        <f t="shared" ref="P77:R84" si="16">O77/(SUM(O$77:O$84))</f>
        <v>0.9285714285714286</v>
      </c>
      <c r="Q77" s="114">
        <v>14</v>
      </c>
      <c r="R77" s="791">
        <f t="shared" si="16"/>
        <v>0.93333333333333335</v>
      </c>
      <c r="S77" s="114">
        <f>6+11</f>
        <v>17</v>
      </c>
      <c r="T77" s="791">
        <f t="shared" ref="T77:T84" si="17">S77/(SUM(S$77:S$84))</f>
        <v>0.85</v>
      </c>
      <c r="U77" s="114">
        <v>19</v>
      </c>
      <c r="V77" s="791">
        <f t="shared" ref="V77:V84" si="18">U77/(SUM(U$77:U$84))</f>
        <v>0.82608695652173914</v>
      </c>
      <c r="W77" s="114">
        <f>8+12</f>
        <v>20</v>
      </c>
      <c r="X77" s="791">
        <f t="shared" ref="X77:X84" si="19">W77/(SUM(W$77:W$84))</f>
        <v>0.76923076923076927</v>
      </c>
      <c r="Y77" s="114">
        <v>22</v>
      </c>
      <c r="Z77" s="791">
        <f t="shared" ref="Z77:Z84" si="20">Y77/(SUM(Y$77:Y$84))</f>
        <v>0.84615384615384615</v>
      </c>
      <c r="AB77" s="672">
        <f t="shared" ref="AB77:AB84" si="21">AVERAGE(Y77,W77,U77,S77,Q77)</f>
        <v>18.399999999999999</v>
      </c>
      <c r="AC77" s="673">
        <f t="shared" ref="AC77:AC84" si="22">AVERAGE(Z77,X77,V77,T77,R77)</f>
        <v>0.84496098104793771</v>
      </c>
    </row>
    <row r="78" spans="1:29" x14ac:dyDescent="0.2">
      <c r="A78" s="1"/>
      <c r="B78" s="111" t="s">
        <v>67</v>
      </c>
      <c r="C78" s="181">
        <v>1</v>
      </c>
      <c r="D78" s="488">
        <f t="shared" ref="D78:D96" si="23">C78/(SUM(C$77:C$84))</f>
        <v>6.25E-2</v>
      </c>
      <c r="E78" s="191">
        <v>1</v>
      </c>
      <c r="F78" s="488">
        <v>7.1428571428571425E-2</v>
      </c>
      <c r="G78" s="191">
        <v>1</v>
      </c>
      <c r="H78" s="488">
        <v>6.25E-2</v>
      </c>
      <c r="I78" s="371">
        <v>1</v>
      </c>
      <c r="J78" s="488">
        <f t="shared" si="14"/>
        <v>7.1428571428571425E-2</v>
      </c>
      <c r="K78" s="371">
        <v>1</v>
      </c>
      <c r="L78" s="497">
        <f t="shared" si="15"/>
        <v>7.1428571428571425E-2</v>
      </c>
      <c r="M78" s="172">
        <v>2</v>
      </c>
      <c r="N78" s="791">
        <f t="shared" si="15"/>
        <v>0.11764705882352941</v>
      </c>
      <c r="O78" s="114">
        <v>1</v>
      </c>
      <c r="P78" s="791">
        <f t="shared" si="16"/>
        <v>7.1428571428571425E-2</v>
      </c>
      <c r="Q78" s="114">
        <v>1</v>
      </c>
      <c r="R78" s="791">
        <f t="shared" si="16"/>
        <v>6.6666666666666666E-2</v>
      </c>
      <c r="S78" s="114">
        <f>1</f>
        <v>1</v>
      </c>
      <c r="T78" s="791">
        <f t="shared" si="17"/>
        <v>0.05</v>
      </c>
      <c r="U78" s="114">
        <v>3</v>
      </c>
      <c r="V78" s="791">
        <f t="shared" si="18"/>
        <v>0.13043478260869565</v>
      </c>
      <c r="W78" s="114">
        <v>3</v>
      </c>
      <c r="X78" s="791">
        <f t="shared" si="19"/>
        <v>0.11538461538461539</v>
      </c>
      <c r="Y78" s="114">
        <v>3</v>
      </c>
      <c r="Z78" s="791">
        <f t="shared" si="20"/>
        <v>0.11538461538461539</v>
      </c>
      <c r="AB78" s="672">
        <f t="shared" si="21"/>
        <v>2.2000000000000002</v>
      </c>
      <c r="AC78" s="673">
        <f t="shared" si="22"/>
        <v>9.5574136008918606E-2</v>
      </c>
    </row>
    <row r="79" spans="1:29" x14ac:dyDescent="0.2">
      <c r="A79" s="1"/>
      <c r="B79" s="111" t="s">
        <v>68</v>
      </c>
      <c r="C79" s="181">
        <v>0</v>
      </c>
      <c r="D79" s="488">
        <f t="shared" si="23"/>
        <v>0</v>
      </c>
      <c r="E79" s="191">
        <v>0</v>
      </c>
      <c r="F79" s="488">
        <v>0</v>
      </c>
      <c r="G79" s="191">
        <v>1</v>
      </c>
      <c r="H79" s="488">
        <v>6.25E-2</v>
      </c>
      <c r="I79" s="371">
        <v>0</v>
      </c>
      <c r="J79" s="488">
        <f t="shared" si="14"/>
        <v>0</v>
      </c>
      <c r="K79" s="371">
        <v>0</v>
      </c>
      <c r="L79" s="497">
        <f t="shared" si="15"/>
        <v>0</v>
      </c>
      <c r="M79" s="172">
        <v>0</v>
      </c>
      <c r="N79" s="791">
        <f t="shared" si="15"/>
        <v>0</v>
      </c>
      <c r="O79" s="114">
        <v>0</v>
      </c>
      <c r="P79" s="791">
        <f t="shared" si="16"/>
        <v>0</v>
      </c>
      <c r="Q79" s="114">
        <v>0</v>
      </c>
      <c r="R79" s="791">
        <f t="shared" si="16"/>
        <v>0</v>
      </c>
      <c r="S79" s="114">
        <f>0</f>
        <v>0</v>
      </c>
      <c r="T79" s="791">
        <f t="shared" si="17"/>
        <v>0</v>
      </c>
      <c r="U79" s="114">
        <v>0</v>
      </c>
      <c r="V79" s="791">
        <f t="shared" si="18"/>
        <v>0</v>
      </c>
      <c r="W79" s="114">
        <v>0</v>
      </c>
      <c r="X79" s="791">
        <f t="shared" si="19"/>
        <v>0</v>
      </c>
      <c r="Y79" s="114">
        <v>0</v>
      </c>
      <c r="Z79" s="791">
        <f t="shared" si="20"/>
        <v>0</v>
      </c>
      <c r="AB79" s="672">
        <f t="shared" si="21"/>
        <v>0</v>
      </c>
      <c r="AC79" s="673">
        <f t="shared" si="22"/>
        <v>0</v>
      </c>
    </row>
    <row r="80" spans="1:29" x14ac:dyDescent="0.2">
      <c r="A80" s="1"/>
      <c r="B80" s="111" t="s">
        <v>69</v>
      </c>
      <c r="C80" s="181">
        <v>0</v>
      </c>
      <c r="D80" s="488">
        <f t="shared" si="23"/>
        <v>0</v>
      </c>
      <c r="E80" s="191">
        <v>0</v>
      </c>
      <c r="F80" s="488">
        <v>0</v>
      </c>
      <c r="G80" s="191">
        <v>0</v>
      </c>
      <c r="H80" s="488">
        <v>0</v>
      </c>
      <c r="I80" s="371">
        <v>0</v>
      </c>
      <c r="J80" s="488">
        <f t="shared" si="14"/>
        <v>0</v>
      </c>
      <c r="K80" s="371">
        <v>0</v>
      </c>
      <c r="L80" s="497">
        <f t="shared" si="15"/>
        <v>0</v>
      </c>
      <c r="M80" s="172">
        <v>0</v>
      </c>
      <c r="N80" s="791">
        <f t="shared" si="15"/>
        <v>0</v>
      </c>
      <c r="O80" s="114">
        <v>0</v>
      </c>
      <c r="P80" s="791">
        <f t="shared" si="16"/>
        <v>0</v>
      </c>
      <c r="Q80" s="114">
        <v>0</v>
      </c>
      <c r="R80" s="791">
        <f t="shared" si="16"/>
        <v>0</v>
      </c>
      <c r="S80" s="114">
        <f>0</f>
        <v>0</v>
      </c>
      <c r="T80" s="791">
        <f t="shared" si="17"/>
        <v>0</v>
      </c>
      <c r="U80" s="114">
        <v>1</v>
      </c>
      <c r="V80" s="791">
        <f t="shared" si="18"/>
        <v>4.3478260869565216E-2</v>
      </c>
      <c r="W80" s="114">
        <v>1</v>
      </c>
      <c r="X80" s="791">
        <f t="shared" si="19"/>
        <v>3.8461538461538464E-2</v>
      </c>
      <c r="Y80" s="114">
        <v>1</v>
      </c>
      <c r="Z80" s="791">
        <f t="shared" si="20"/>
        <v>3.8461538461538464E-2</v>
      </c>
      <c r="AB80" s="672">
        <f t="shared" si="21"/>
        <v>0.6</v>
      </c>
      <c r="AC80" s="673">
        <f t="shared" si="22"/>
        <v>2.4080267558528427E-2</v>
      </c>
    </row>
    <row r="81" spans="1:29" x14ac:dyDescent="0.2">
      <c r="A81" s="1"/>
      <c r="B81" s="111" t="s">
        <v>70</v>
      </c>
      <c r="C81" s="181">
        <v>0</v>
      </c>
      <c r="D81" s="488">
        <f t="shared" si="23"/>
        <v>0</v>
      </c>
      <c r="E81" s="191">
        <v>0</v>
      </c>
      <c r="F81" s="488">
        <v>0</v>
      </c>
      <c r="G81" s="191">
        <v>1</v>
      </c>
      <c r="H81" s="488">
        <v>6.25E-2</v>
      </c>
      <c r="I81" s="371">
        <v>0</v>
      </c>
      <c r="J81" s="488">
        <f t="shared" si="14"/>
        <v>0</v>
      </c>
      <c r="K81" s="371">
        <v>1</v>
      </c>
      <c r="L81" s="497">
        <f t="shared" si="15"/>
        <v>7.1428571428571425E-2</v>
      </c>
      <c r="M81" s="172">
        <v>0</v>
      </c>
      <c r="N81" s="791">
        <f t="shared" si="15"/>
        <v>0</v>
      </c>
      <c r="O81" s="114">
        <v>0</v>
      </c>
      <c r="P81" s="791">
        <f t="shared" si="16"/>
        <v>0</v>
      </c>
      <c r="Q81" s="114">
        <v>0</v>
      </c>
      <c r="R81" s="791">
        <f t="shared" si="16"/>
        <v>0</v>
      </c>
      <c r="S81" s="114">
        <f>0</f>
        <v>0</v>
      </c>
      <c r="T81" s="791">
        <f t="shared" si="17"/>
        <v>0</v>
      </c>
      <c r="U81" s="114">
        <v>0</v>
      </c>
      <c r="V81" s="791">
        <f t="shared" si="18"/>
        <v>0</v>
      </c>
      <c r="W81" s="114">
        <v>0</v>
      </c>
      <c r="X81" s="791">
        <f t="shared" si="19"/>
        <v>0</v>
      </c>
      <c r="Y81" s="114">
        <v>0</v>
      </c>
      <c r="Z81" s="791">
        <f t="shared" si="20"/>
        <v>0</v>
      </c>
      <c r="AB81" s="672">
        <f t="shared" si="21"/>
        <v>0</v>
      </c>
      <c r="AC81" s="673">
        <f t="shared" si="22"/>
        <v>0</v>
      </c>
    </row>
    <row r="82" spans="1:29" x14ac:dyDescent="0.2">
      <c r="A82" s="1"/>
      <c r="B82" s="111" t="s">
        <v>71</v>
      </c>
      <c r="C82" s="181">
        <v>1</v>
      </c>
      <c r="D82" s="488">
        <f t="shared" si="23"/>
        <v>6.25E-2</v>
      </c>
      <c r="E82" s="191">
        <v>1</v>
      </c>
      <c r="F82" s="488">
        <v>7.1428571428571425E-2</v>
      </c>
      <c r="G82" s="191">
        <v>0</v>
      </c>
      <c r="H82" s="488">
        <v>0</v>
      </c>
      <c r="I82" s="371">
        <v>1</v>
      </c>
      <c r="J82" s="488">
        <f t="shared" si="14"/>
        <v>7.1428571428571425E-2</v>
      </c>
      <c r="K82" s="371">
        <v>0</v>
      </c>
      <c r="L82" s="497">
        <f t="shared" si="15"/>
        <v>0</v>
      </c>
      <c r="M82" s="172">
        <v>0</v>
      </c>
      <c r="N82" s="791">
        <f t="shared" si="15"/>
        <v>0</v>
      </c>
      <c r="O82" s="114">
        <v>0</v>
      </c>
      <c r="P82" s="791">
        <f t="shared" si="16"/>
        <v>0</v>
      </c>
      <c r="Q82" s="114">
        <v>0</v>
      </c>
      <c r="R82" s="791">
        <f t="shared" si="16"/>
        <v>0</v>
      </c>
      <c r="S82" s="114">
        <f>0</f>
        <v>0</v>
      </c>
      <c r="T82" s="791">
        <f t="shared" si="17"/>
        <v>0</v>
      </c>
      <c r="U82" s="114">
        <v>0</v>
      </c>
      <c r="V82" s="791">
        <f t="shared" si="18"/>
        <v>0</v>
      </c>
      <c r="W82" s="114">
        <v>0</v>
      </c>
      <c r="X82" s="791">
        <f t="shared" si="19"/>
        <v>0</v>
      </c>
      <c r="Y82" s="114">
        <v>0</v>
      </c>
      <c r="Z82" s="791">
        <f t="shared" si="20"/>
        <v>0</v>
      </c>
      <c r="AB82" s="672">
        <f t="shared" si="21"/>
        <v>0</v>
      </c>
      <c r="AC82" s="673">
        <f t="shared" si="22"/>
        <v>0</v>
      </c>
    </row>
    <row r="83" spans="1:29" x14ac:dyDescent="0.2">
      <c r="A83" s="1"/>
      <c r="B83" s="111" t="s">
        <v>170</v>
      </c>
      <c r="C83" s="181"/>
      <c r="D83" s="488"/>
      <c r="E83" s="191"/>
      <c r="F83" s="488"/>
      <c r="G83" s="1102"/>
      <c r="H83" s="1103"/>
      <c r="I83" s="1104"/>
      <c r="J83" s="1103"/>
      <c r="K83" s="1105"/>
      <c r="L83" s="1106"/>
      <c r="M83" s="1086"/>
      <c r="N83" s="1107"/>
      <c r="O83" s="1083"/>
      <c r="P83" s="1107"/>
      <c r="Q83" s="115">
        <v>0</v>
      </c>
      <c r="R83" s="791">
        <f t="shared" si="16"/>
        <v>0</v>
      </c>
      <c r="S83" s="115">
        <f>0</f>
        <v>0</v>
      </c>
      <c r="T83" s="791">
        <f t="shared" si="17"/>
        <v>0</v>
      </c>
      <c r="U83" s="115">
        <v>0</v>
      </c>
      <c r="V83" s="791">
        <f t="shared" si="18"/>
        <v>0</v>
      </c>
      <c r="W83" s="115">
        <v>0</v>
      </c>
      <c r="X83" s="791">
        <f t="shared" si="19"/>
        <v>0</v>
      </c>
      <c r="Y83" s="115">
        <v>0</v>
      </c>
      <c r="Z83" s="791">
        <f t="shared" si="20"/>
        <v>0</v>
      </c>
      <c r="AB83" s="672">
        <f t="shared" si="21"/>
        <v>0</v>
      </c>
      <c r="AC83" s="673">
        <f t="shared" si="22"/>
        <v>0</v>
      </c>
    </row>
    <row r="84" spans="1:29" x14ac:dyDescent="0.2">
      <c r="A84" s="1"/>
      <c r="B84" s="111" t="s">
        <v>72</v>
      </c>
      <c r="C84" s="181">
        <v>0</v>
      </c>
      <c r="D84" s="488">
        <f t="shared" si="23"/>
        <v>0</v>
      </c>
      <c r="E84" s="191">
        <v>0</v>
      </c>
      <c r="F84" s="488">
        <v>0</v>
      </c>
      <c r="G84" s="191">
        <v>0</v>
      </c>
      <c r="H84" s="488">
        <v>0</v>
      </c>
      <c r="I84" s="371">
        <v>0</v>
      </c>
      <c r="J84" s="488">
        <f t="shared" si="14"/>
        <v>0</v>
      </c>
      <c r="K84" s="107">
        <v>0</v>
      </c>
      <c r="L84" s="497">
        <f t="shared" si="15"/>
        <v>0</v>
      </c>
      <c r="M84" s="174">
        <v>0</v>
      </c>
      <c r="N84" s="791">
        <f t="shared" si="15"/>
        <v>0</v>
      </c>
      <c r="O84" s="115">
        <v>0</v>
      </c>
      <c r="P84" s="791">
        <f t="shared" si="16"/>
        <v>0</v>
      </c>
      <c r="Q84" s="115">
        <v>0</v>
      </c>
      <c r="R84" s="791">
        <f t="shared" si="16"/>
        <v>0</v>
      </c>
      <c r="S84" s="115">
        <f>2</f>
        <v>2</v>
      </c>
      <c r="T84" s="791">
        <f t="shared" si="17"/>
        <v>0.1</v>
      </c>
      <c r="U84" s="115">
        <v>0</v>
      </c>
      <c r="V84" s="791">
        <f t="shared" si="18"/>
        <v>0</v>
      </c>
      <c r="W84" s="115">
        <v>2</v>
      </c>
      <c r="X84" s="791">
        <f t="shared" si="19"/>
        <v>7.6923076923076927E-2</v>
      </c>
      <c r="Y84" s="115">
        <v>0</v>
      </c>
      <c r="Z84" s="791">
        <f t="shared" si="20"/>
        <v>0</v>
      </c>
      <c r="AB84" s="672">
        <f t="shared" si="21"/>
        <v>0.8</v>
      </c>
      <c r="AC84" s="673">
        <f t="shared" si="22"/>
        <v>3.5384615384615389E-2</v>
      </c>
    </row>
    <row r="85" spans="1:29" x14ac:dyDescent="0.2">
      <c r="A85" s="1"/>
      <c r="B85" s="287" t="s">
        <v>85</v>
      </c>
      <c r="C85" s="181"/>
      <c r="D85" s="340"/>
      <c r="E85" s="191"/>
      <c r="F85" s="340"/>
      <c r="G85" s="191"/>
      <c r="H85" s="340"/>
      <c r="I85" s="185"/>
      <c r="J85" s="340"/>
      <c r="K85" s="303"/>
      <c r="L85" s="498"/>
      <c r="M85" s="303"/>
      <c r="N85" s="770"/>
      <c r="O85" s="185"/>
      <c r="P85" s="770"/>
      <c r="Q85" s="185"/>
      <c r="R85" s="770"/>
      <c r="S85" s="185"/>
      <c r="T85" s="770"/>
      <c r="U85" s="185"/>
      <c r="V85" s="770"/>
      <c r="W85" s="185"/>
      <c r="X85" s="770"/>
      <c r="Y85" s="185"/>
      <c r="Z85" s="770"/>
      <c r="AB85" s="672"/>
      <c r="AC85" s="673"/>
    </row>
    <row r="86" spans="1:29" x14ac:dyDescent="0.2">
      <c r="A86" s="1"/>
      <c r="B86" s="47" t="s">
        <v>73</v>
      </c>
      <c r="C86" s="181">
        <v>8</v>
      </c>
      <c r="D86" s="488">
        <f t="shared" si="23"/>
        <v>0.5</v>
      </c>
      <c r="E86" s="191">
        <v>7</v>
      </c>
      <c r="F86" s="488">
        <v>0.5</v>
      </c>
      <c r="G86" s="191">
        <v>8</v>
      </c>
      <c r="H86" s="488">
        <v>0.5</v>
      </c>
      <c r="I86" s="191">
        <v>7</v>
      </c>
      <c r="J86" s="488">
        <f>I86/(SUM(I$77:I$84))</f>
        <v>0.5</v>
      </c>
      <c r="K86" s="191">
        <v>7</v>
      </c>
      <c r="L86" s="497">
        <f>K86/(SUM(K$77:K$84))</f>
        <v>0.5</v>
      </c>
      <c r="M86" s="188">
        <v>9</v>
      </c>
      <c r="N86" s="791">
        <f>M86/(SUM(M$77:M$84))</f>
        <v>0.52941176470588236</v>
      </c>
      <c r="O86" s="313">
        <v>8</v>
      </c>
      <c r="P86" s="791">
        <f>O86/(SUM(O$77:O$84))</f>
        <v>0.5714285714285714</v>
      </c>
      <c r="Q86" s="313">
        <v>8</v>
      </c>
      <c r="R86" s="791">
        <f>Q86/(SUM(Q$77:Q$84))</f>
        <v>0.53333333333333333</v>
      </c>
      <c r="S86" s="313">
        <f>3+6</f>
        <v>9</v>
      </c>
      <c r="T86" s="791">
        <f>S86/(SUM(S$77:S$84))</f>
        <v>0.45</v>
      </c>
      <c r="U86" s="313">
        <v>11</v>
      </c>
      <c r="V86" s="791">
        <f>U86/(SUM(U$77:U$84))</f>
        <v>0.47826086956521741</v>
      </c>
      <c r="W86" s="313">
        <v>10</v>
      </c>
      <c r="X86" s="791">
        <f>W86/(SUM(W$77:W$84))</f>
        <v>0.38461538461538464</v>
      </c>
      <c r="Y86" s="313">
        <v>11</v>
      </c>
      <c r="Z86" s="791">
        <f>Y86/(SUM(Y$77:Y$84))</f>
        <v>0.42307692307692307</v>
      </c>
      <c r="AB86" s="672">
        <f t="shared" ref="AB86:AB87" si="24">AVERAGE(Y86,W86,U86,S86,Q86)</f>
        <v>9.8000000000000007</v>
      </c>
      <c r="AC86" s="673">
        <f t="shared" ref="AC86:AC87" si="25">AVERAGE(Z86,X86,V86,T86,R86)</f>
        <v>0.45385730211817171</v>
      </c>
    </row>
    <row r="87" spans="1:29" x14ac:dyDescent="0.2">
      <c r="A87" s="1"/>
      <c r="B87" s="47" t="s">
        <v>74</v>
      </c>
      <c r="C87" s="181">
        <v>8</v>
      </c>
      <c r="D87" s="488">
        <f t="shared" si="23"/>
        <v>0.5</v>
      </c>
      <c r="E87" s="191">
        <v>7</v>
      </c>
      <c r="F87" s="488">
        <v>0.5</v>
      </c>
      <c r="G87" s="191">
        <v>8</v>
      </c>
      <c r="H87" s="488">
        <v>0.5</v>
      </c>
      <c r="I87" s="191">
        <v>7</v>
      </c>
      <c r="J87" s="488">
        <f>I87/(SUM(I$77:I$84))</f>
        <v>0.5</v>
      </c>
      <c r="K87" s="191">
        <v>7</v>
      </c>
      <c r="L87" s="497">
        <f>K87/(SUM(K$77:K$84))</f>
        <v>0.5</v>
      </c>
      <c r="M87" s="191">
        <v>8</v>
      </c>
      <c r="N87" s="791">
        <f>M87/(SUM(M$77:M$84))</f>
        <v>0.47058823529411764</v>
      </c>
      <c r="O87" s="181">
        <v>7</v>
      </c>
      <c r="P87" s="791">
        <f>O87/(SUM(O$77:O$84))</f>
        <v>0.5</v>
      </c>
      <c r="Q87" s="181">
        <v>7</v>
      </c>
      <c r="R87" s="791">
        <f>Q87/(SUM(Q$77:Q$84))</f>
        <v>0.46666666666666667</v>
      </c>
      <c r="S87" s="181">
        <f>5+6</f>
        <v>11</v>
      </c>
      <c r="T87" s="791">
        <f>S87/(SUM(S$77:S$84))</f>
        <v>0.55000000000000004</v>
      </c>
      <c r="U87" s="181">
        <v>12</v>
      </c>
      <c r="V87" s="791">
        <f>U87/(SUM(U$77:U$84))</f>
        <v>0.52173913043478259</v>
      </c>
      <c r="W87" s="181">
        <v>16</v>
      </c>
      <c r="X87" s="791">
        <f>W87/(SUM(W$77:W$84))</f>
        <v>0.61538461538461542</v>
      </c>
      <c r="Y87" s="181">
        <v>15</v>
      </c>
      <c r="Z87" s="791">
        <f>Y87/(SUM(Y$77:Y$84))</f>
        <v>0.57692307692307687</v>
      </c>
      <c r="AB87" s="672">
        <f t="shared" si="24"/>
        <v>12.2</v>
      </c>
      <c r="AC87" s="673">
        <f t="shared" si="25"/>
        <v>0.54614269788182823</v>
      </c>
    </row>
    <row r="88" spans="1:29" x14ac:dyDescent="0.2">
      <c r="A88" s="1"/>
      <c r="B88" s="287" t="s">
        <v>86</v>
      </c>
      <c r="C88" s="181"/>
      <c r="D88" s="340"/>
      <c r="E88" s="191"/>
      <c r="F88" s="340"/>
      <c r="G88" s="191"/>
      <c r="H88" s="340"/>
      <c r="I88" s="225"/>
      <c r="J88" s="340"/>
      <c r="K88" s="304"/>
      <c r="L88" s="498"/>
      <c r="M88" s="304"/>
      <c r="N88" s="770"/>
      <c r="O88" s="225"/>
      <c r="P88" s="770"/>
      <c r="Q88" s="225"/>
      <c r="R88" s="770"/>
      <c r="S88" s="225"/>
      <c r="T88" s="770"/>
      <c r="U88" s="225"/>
      <c r="V88" s="770"/>
      <c r="W88" s="225"/>
      <c r="X88" s="770"/>
      <c r="Y88" s="225"/>
      <c r="Z88" s="770"/>
      <c r="AB88" s="672"/>
      <c r="AC88" s="673"/>
    </row>
    <row r="89" spans="1:29" x14ac:dyDescent="0.2">
      <c r="A89" s="1"/>
      <c r="B89" s="47" t="s">
        <v>75</v>
      </c>
      <c r="C89" s="181">
        <v>9</v>
      </c>
      <c r="D89" s="488">
        <f t="shared" si="23"/>
        <v>0.5625</v>
      </c>
      <c r="E89" s="191">
        <v>9</v>
      </c>
      <c r="F89" s="488">
        <v>0.6428571428571429</v>
      </c>
      <c r="G89" s="191">
        <v>8</v>
      </c>
      <c r="H89" s="488">
        <v>0.5</v>
      </c>
      <c r="I89" s="181">
        <v>7</v>
      </c>
      <c r="J89" s="488">
        <f>I89/(SUM(I$77:I$84))</f>
        <v>0.5</v>
      </c>
      <c r="K89" s="191">
        <v>7</v>
      </c>
      <c r="L89" s="497">
        <f>K89/(SUM(K$77:K$84))</f>
        <v>0.5</v>
      </c>
      <c r="M89" s="191">
        <v>8</v>
      </c>
      <c r="N89" s="791">
        <f>M89/(SUM(M$77:M$84))</f>
        <v>0.47058823529411764</v>
      </c>
      <c r="O89" s="181">
        <v>7</v>
      </c>
      <c r="P89" s="791">
        <f>O89/(SUM(O$77:O$84))</f>
        <v>0.5</v>
      </c>
      <c r="Q89" s="181">
        <v>7</v>
      </c>
      <c r="R89" s="791">
        <f>Q89/(SUM(Q$77:Q$84))</f>
        <v>0.46666666666666667</v>
      </c>
      <c r="S89" s="181">
        <f>1+6</f>
        <v>7</v>
      </c>
      <c r="T89" s="791">
        <f>S89/(SUM(S$77:S$84))</f>
        <v>0.35</v>
      </c>
      <c r="U89" s="181">
        <v>9</v>
      </c>
      <c r="V89" s="791">
        <f>U89/(SUM(U$77:U$84))</f>
        <v>0.39130434782608697</v>
      </c>
      <c r="W89" s="181">
        <v>7</v>
      </c>
      <c r="X89" s="791">
        <f>W89/(SUM(W$77:W$84))</f>
        <v>0.26923076923076922</v>
      </c>
      <c r="Y89" s="181">
        <v>7</v>
      </c>
      <c r="Z89" s="791">
        <f>Y89/(SUM(Y$77:Y$84))</f>
        <v>0.26923076923076922</v>
      </c>
      <c r="AB89" s="672">
        <f t="shared" ref="AB89:AB91" si="26">AVERAGE(Y89,W89,U89,S89,Q89)</f>
        <v>7.4</v>
      </c>
      <c r="AC89" s="673">
        <f t="shared" ref="AC89:AC91" si="27">AVERAGE(Z89,X89,V89,T89,R89)</f>
        <v>0.34928651059085841</v>
      </c>
    </row>
    <row r="90" spans="1:29" x14ac:dyDescent="0.2">
      <c r="A90" s="1"/>
      <c r="B90" s="47" t="s">
        <v>76</v>
      </c>
      <c r="C90" s="181">
        <v>3</v>
      </c>
      <c r="D90" s="488">
        <f t="shared" si="23"/>
        <v>0.1875</v>
      </c>
      <c r="E90" s="191">
        <v>3</v>
      </c>
      <c r="F90" s="488">
        <v>0.21428571428571427</v>
      </c>
      <c r="G90" s="191">
        <v>5</v>
      </c>
      <c r="H90" s="488">
        <v>0.3125</v>
      </c>
      <c r="I90" s="181">
        <v>6</v>
      </c>
      <c r="J90" s="488">
        <f>I90/(SUM(I$77:I$84))</f>
        <v>0.42857142857142855</v>
      </c>
      <c r="K90" s="191">
        <v>5</v>
      </c>
      <c r="L90" s="497">
        <f>K90/(SUM(K$77:K$84))</f>
        <v>0.35714285714285715</v>
      </c>
      <c r="M90" s="191">
        <v>6</v>
      </c>
      <c r="N90" s="791">
        <f>M90/(SUM(M$77:M$84))</f>
        <v>0.35294117647058826</v>
      </c>
      <c r="O90" s="181">
        <v>6</v>
      </c>
      <c r="P90" s="791">
        <f>O90/(SUM(O$77:O$84))</f>
        <v>0.42857142857142855</v>
      </c>
      <c r="Q90" s="181">
        <v>5</v>
      </c>
      <c r="R90" s="791">
        <f>Q90/(SUM(Q$77:Q$84))</f>
        <v>0.33333333333333331</v>
      </c>
      <c r="S90" s="181">
        <f>1+3</f>
        <v>4</v>
      </c>
      <c r="T90" s="791">
        <f>S90/(SUM(S$77:S$84))</f>
        <v>0.2</v>
      </c>
      <c r="U90" s="181">
        <v>3</v>
      </c>
      <c r="V90" s="791">
        <f>U90/(SUM(U$77:U$84))</f>
        <v>0.13043478260869565</v>
      </c>
      <c r="W90" s="181">
        <v>3</v>
      </c>
      <c r="X90" s="791">
        <f>W90/(SUM(W$77:W$84))</f>
        <v>0.11538461538461539</v>
      </c>
      <c r="Y90" s="181">
        <v>5</v>
      </c>
      <c r="Z90" s="791">
        <f>Y90/(SUM(Y$77:Y$84))</f>
        <v>0.19230769230769232</v>
      </c>
      <c r="AB90" s="672">
        <f t="shared" si="26"/>
        <v>4</v>
      </c>
      <c r="AC90" s="673">
        <f t="shared" si="27"/>
        <v>0.19429208472686735</v>
      </c>
    </row>
    <row r="91" spans="1:29" x14ac:dyDescent="0.2">
      <c r="A91" s="1"/>
      <c r="B91" s="47" t="s">
        <v>77</v>
      </c>
      <c r="C91" s="181">
        <v>4</v>
      </c>
      <c r="D91" s="488">
        <f t="shared" si="23"/>
        <v>0.25</v>
      </c>
      <c r="E91" s="191">
        <v>2</v>
      </c>
      <c r="F91" s="488">
        <v>0.14285714285714285</v>
      </c>
      <c r="G91" s="191">
        <v>3</v>
      </c>
      <c r="H91" s="488">
        <v>0.1875</v>
      </c>
      <c r="I91" s="181">
        <v>1</v>
      </c>
      <c r="J91" s="488">
        <f>I91/(SUM(I$77:I$84))</f>
        <v>7.1428571428571425E-2</v>
      </c>
      <c r="K91" s="191">
        <v>2</v>
      </c>
      <c r="L91" s="497">
        <f>K91/(SUM(K$77:K$84))</f>
        <v>0.14285714285714285</v>
      </c>
      <c r="M91" s="191">
        <v>3</v>
      </c>
      <c r="N91" s="791">
        <f>M91/(SUM(M$77:M$84))</f>
        <v>0.17647058823529413</v>
      </c>
      <c r="O91" s="181">
        <v>2</v>
      </c>
      <c r="P91" s="791">
        <f>O91/(SUM(O$77:O$84))</f>
        <v>0.14285714285714285</v>
      </c>
      <c r="Q91" s="181">
        <v>3</v>
      </c>
      <c r="R91" s="791">
        <f>Q91/(SUM(Q$77:Q$84))</f>
        <v>0.2</v>
      </c>
      <c r="S91" s="181">
        <f>6+3</f>
        <v>9</v>
      </c>
      <c r="T91" s="791">
        <f>S91/(SUM(S$77:S$84))</f>
        <v>0.45</v>
      </c>
      <c r="U91" s="181">
        <v>11</v>
      </c>
      <c r="V91" s="791">
        <f>U91/(SUM(U$77:U$84))</f>
        <v>0.47826086956521741</v>
      </c>
      <c r="W91" s="181">
        <v>16</v>
      </c>
      <c r="X91" s="791">
        <f>W91/(SUM(W$77:W$84))</f>
        <v>0.61538461538461542</v>
      </c>
      <c r="Y91" s="181">
        <v>14</v>
      </c>
      <c r="Z91" s="791">
        <f>Y91/(SUM(Y$77:Y$84))</f>
        <v>0.53846153846153844</v>
      </c>
      <c r="AB91" s="672">
        <f t="shared" si="26"/>
        <v>10.6</v>
      </c>
      <c r="AC91" s="673">
        <f t="shared" si="27"/>
        <v>0.45642140468227427</v>
      </c>
    </row>
    <row r="92" spans="1:29" x14ac:dyDescent="0.2">
      <c r="A92" s="1"/>
      <c r="B92" s="287" t="s">
        <v>87</v>
      </c>
      <c r="C92" s="181"/>
      <c r="D92" s="340"/>
      <c r="E92" s="191"/>
      <c r="F92" s="340"/>
      <c r="G92" s="191"/>
      <c r="H92" s="340"/>
      <c r="I92" s="225"/>
      <c r="J92" s="340"/>
      <c r="K92" s="304"/>
      <c r="L92" s="498"/>
      <c r="M92" s="304"/>
      <c r="N92" s="770"/>
      <c r="O92" s="225"/>
      <c r="P92" s="770"/>
      <c r="Q92" s="225"/>
      <c r="R92" s="770"/>
      <c r="S92" s="225"/>
      <c r="T92" s="770"/>
      <c r="U92" s="225"/>
      <c r="V92" s="770"/>
      <c r="W92" s="225"/>
      <c r="X92" s="770"/>
      <c r="Y92" s="225"/>
      <c r="Z92" s="770"/>
      <c r="AB92" s="672"/>
      <c r="AC92" s="673"/>
    </row>
    <row r="93" spans="1:29" x14ac:dyDescent="0.2">
      <c r="A93" s="1"/>
      <c r="B93" s="47" t="s">
        <v>78</v>
      </c>
      <c r="C93" s="181">
        <v>14</v>
      </c>
      <c r="D93" s="488">
        <f t="shared" si="23"/>
        <v>0.875</v>
      </c>
      <c r="E93" s="191">
        <v>13</v>
      </c>
      <c r="F93" s="488">
        <v>0.9285714285714286</v>
      </c>
      <c r="G93" s="191">
        <v>13</v>
      </c>
      <c r="H93" s="488">
        <v>0.8125</v>
      </c>
      <c r="I93" s="181">
        <v>13</v>
      </c>
      <c r="J93" s="488">
        <f>I93/(SUM(I$77:I$84))</f>
        <v>0.9285714285714286</v>
      </c>
      <c r="K93" s="191">
        <v>13</v>
      </c>
      <c r="L93" s="497">
        <f>K93/(SUM(K$77:K$84))</f>
        <v>0.9285714285714286</v>
      </c>
      <c r="M93" s="191">
        <v>15</v>
      </c>
      <c r="N93" s="791">
        <f>M93/(SUM(M$77:M$84))</f>
        <v>0.88235294117647056</v>
      </c>
      <c r="O93" s="181">
        <v>13</v>
      </c>
      <c r="P93" s="791">
        <f>O93/(SUM(O$77:O$84))</f>
        <v>0.9285714285714286</v>
      </c>
      <c r="Q93" s="181">
        <v>13</v>
      </c>
      <c r="R93" s="791">
        <f>Q93/(SUM(Q$77:Q$84))</f>
        <v>0.8666666666666667</v>
      </c>
      <c r="S93" s="181">
        <f>6+10</f>
        <v>16</v>
      </c>
      <c r="T93" s="791">
        <f>S93/(SUM(S$77:S$84))</f>
        <v>0.8</v>
      </c>
      <c r="U93" s="181">
        <v>18</v>
      </c>
      <c r="V93" s="791">
        <f>U93/(SUM(U$77:U$84))</f>
        <v>0.78260869565217395</v>
      </c>
      <c r="W93" s="181">
        <f>8+11</f>
        <v>19</v>
      </c>
      <c r="X93" s="791">
        <f>W93/(SUM(W$77:W$84))</f>
        <v>0.73076923076923073</v>
      </c>
      <c r="Y93" s="181">
        <v>22</v>
      </c>
      <c r="Z93" s="791">
        <f>Y93/(SUM(Y$77:Y$84))</f>
        <v>0.84615384615384615</v>
      </c>
      <c r="AB93" s="672">
        <f t="shared" ref="AB93:AB96" si="28">AVERAGE(Y93,W93,U93,S93,Q93)</f>
        <v>17.600000000000001</v>
      </c>
      <c r="AC93" s="673">
        <f t="shared" ref="AC93:AC96" si="29">AVERAGE(Z93,X93,V93,T93,R93)</f>
        <v>0.80523968784838362</v>
      </c>
    </row>
    <row r="94" spans="1:29" x14ac:dyDescent="0.2">
      <c r="A94" s="1"/>
      <c r="B94" s="47" t="s">
        <v>79</v>
      </c>
      <c r="C94" s="181">
        <v>2</v>
      </c>
      <c r="D94" s="488">
        <f t="shared" si="23"/>
        <v>0.125</v>
      </c>
      <c r="E94" s="191">
        <v>1</v>
      </c>
      <c r="F94" s="488">
        <v>7.1428571428571425E-2</v>
      </c>
      <c r="G94" s="191">
        <v>3</v>
      </c>
      <c r="H94" s="488">
        <v>0.1875</v>
      </c>
      <c r="I94" s="181">
        <v>1</v>
      </c>
      <c r="J94" s="488">
        <f>I94/(SUM(I$77:I$84))</f>
        <v>7.1428571428571425E-2</v>
      </c>
      <c r="K94" s="191">
        <v>1</v>
      </c>
      <c r="L94" s="497">
        <f>K94/(SUM(K$77:K$84))</f>
        <v>7.1428571428571425E-2</v>
      </c>
      <c r="M94" s="191">
        <v>1</v>
      </c>
      <c r="N94" s="791">
        <f>M94/(SUM(M$77:M$84))</f>
        <v>5.8823529411764705E-2</v>
      </c>
      <c r="O94" s="181">
        <v>1</v>
      </c>
      <c r="P94" s="791">
        <f>O94/(SUM(O$77:O$84))</f>
        <v>7.1428571428571425E-2</v>
      </c>
      <c r="Q94" s="181">
        <v>1</v>
      </c>
      <c r="R94" s="791">
        <f>Q94/(SUM(Q$77:Q$84))</f>
        <v>6.6666666666666666E-2</v>
      </c>
      <c r="S94" s="181">
        <f>2+1</f>
        <v>3</v>
      </c>
      <c r="T94" s="791">
        <f>S94/(SUM(S$77:S$84))</f>
        <v>0.15</v>
      </c>
      <c r="U94" s="181">
        <v>4</v>
      </c>
      <c r="V94" s="791">
        <f>U94/(SUM(U$77:U$84))</f>
        <v>0.17391304347826086</v>
      </c>
      <c r="W94" s="181">
        <v>5</v>
      </c>
      <c r="X94" s="791">
        <f>W94/(SUM(W$77:W$84))</f>
        <v>0.19230769230769232</v>
      </c>
      <c r="Y94" s="181">
        <v>4</v>
      </c>
      <c r="Z94" s="791">
        <f>Y94/(SUM(Y$77:Y$84))</f>
        <v>0.15384615384615385</v>
      </c>
      <c r="AB94" s="672">
        <f t="shared" si="28"/>
        <v>3.4</v>
      </c>
      <c r="AC94" s="673">
        <f t="shared" si="29"/>
        <v>0.14734671125975474</v>
      </c>
    </row>
    <row r="95" spans="1:29" x14ac:dyDescent="0.2">
      <c r="A95" s="1"/>
      <c r="B95" s="47" t="s">
        <v>80</v>
      </c>
      <c r="C95" s="181">
        <v>0</v>
      </c>
      <c r="D95" s="488">
        <f t="shared" si="23"/>
        <v>0</v>
      </c>
      <c r="E95" s="191">
        <v>0</v>
      </c>
      <c r="F95" s="488">
        <v>0</v>
      </c>
      <c r="G95" s="191">
        <v>0</v>
      </c>
      <c r="H95" s="488">
        <v>0</v>
      </c>
      <c r="I95" s="181">
        <v>0</v>
      </c>
      <c r="J95" s="488">
        <f>I95/(SUM(I$77:I$84))</f>
        <v>0</v>
      </c>
      <c r="K95" s="191">
        <v>0</v>
      </c>
      <c r="L95" s="497">
        <f>K95/(SUM(K$77:K$84))</f>
        <v>0</v>
      </c>
      <c r="M95" s="191">
        <v>1</v>
      </c>
      <c r="N95" s="791">
        <f>M95/(SUM(M$77:M$84))</f>
        <v>5.8823529411764705E-2</v>
      </c>
      <c r="O95" s="181">
        <v>1</v>
      </c>
      <c r="P95" s="791">
        <f>O95/(SUM(O$77:O$84))</f>
        <v>7.1428571428571425E-2</v>
      </c>
      <c r="Q95" s="181">
        <v>1</v>
      </c>
      <c r="R95" s="791">
        <f>Q95/(SUM(Q$77:Q$84))</f>
        <v>6.6666666666666666E-2</v>
      </c>
      <c r="S95" s="181">
        <f>1</f>
        <v>1</v>
      </c>
      <c r="T95" s="791">
        <f>S95/(SUM(S$77:S$84))</f>
        <v>0.05</v>
      </c>
      <c r="U95" s="181">
        <v>1</v>
      </c>
      <c r="V95" s="791">
        <f>U95/(SUM(U$77:U$84))</f>
        <v>4.3478260869565216E-2</v>
      </c>
      <c r="W95" s="181">
        <v>2</v>
      </c>
      <c r="X95" s="791">
        <f>W95/(SUM(W$77:W$84))</f>
        <v>7.6923076923076927E-2</v>
      </c>
      <c r="Y95" s="181">
        <v>0</v>
      </c>
      <c r="Z95" s="791">
        <f>Y95/(SUM(Y$77:Y$84))</f>
        <v>0</v>
      </c>
      <c r="AB95" s="672">
        <f t="shared" si="28"/>
        <v>1</v>
      </c>
      <c r="AC95" s="673">
        <f t="shared" si="29"/>
        <v>4.7413600891861765E-2</v>
      </c>
    </row>
    <row r="96" spans="1:29" ht="13.5" thickBot="1" x14ac:dyDescent="0.25">
      <c r="A96" s="1"/>
      <c r="B96" s="519" t="s">
        <v>81</v>
      </c>
      <c r="C96" s="198">
        <v>0</v>
      </c>
      <c r="D96" s="748">
        <f t="shared" si="23"/>
        <v>0</v>
      </c>
      <c r="E96" s="749">
        <v>0</v>
      </c>
      <c r="F96" s="750">
        <v>0</v>
      </c>
      <c r="G96" s="197">
        <v>0</v>
      </c>
      <c r="H96" s="490">
        <v>0</v>
      </c>
      <c r="I96" s="198">
        <v>0</v>
      </c>
      <c r="J96" s="490">
        <f>I96/(SUM(I$77:I$84))</f>
        <v>0</v>
      </c>
      <c r="K96" s="197">
        <v>0</v>
      </c>
      <c r="L96" s="499">
        <f>K96/(SUM(K$77:K$84))</f>
        <v>0</v>
      </c>
      <c r="M96" s="197">
        <v>0</v>
      </c>
      <c r="N96" s="748">
        <f>M96/(SUM(M$77:M$84))</f>
        <v>0</v>
      </c>
      <c r="O96" s="198">
        <v>0</v>
      </c>
      <c r="P96" s="748">
        <f>O96/(SUM(O$77:O$84))</f>
        <v>0</v>
      </c>
      <c r="Q96" s="198">
        <v>0</v>
      </c>
      <c r="R96" s="748">
        <f>Q96/(SUM(Q$77:Q$84))</f>
        <v>0</v>
      </c>
      <c r="S96" s="198">
        <f>0</f>
        <v>0</v>
      </c>
      <c r="T96" s="748">
        <f>S96/(SUM(S$77:S$84))</f>
        <v>0</v>
      </c>
      <c r="U96" s="198">
        <v>0</v>
      </c>
      <c r="V96" s="748">
        <f>U96/(SUM(U$77:U$84))</f>
        <v>0</v>
      </c>
      <c r="W96" s="198">
        <v>0</v>
      </c>
      <c r="X96" s="748">
        <f>W96/(SUM(W$77:W$84))</f>
        <v>0</v>
      </c>
      <c r="Y96" s="198">
        <v>0</v>
      </c>
      <c r="Z96" s="748">
        <f>Y96/(SUM(Y$77:Y$84))</f>
        <v>0</v>
      </c>
      <c r="AA96" s="578"/>
      <c r="AB96" s="672">
        <f t="shared" si="28"/>
        <v>0</v>
      </c>
      <c r="AC96" s="673">
        <f t="shared" si="29"/>
        <v>0</v>
      </c>
    </row>
    <row r="97" spans="1:31" ht="14.25" thickTop="1" thickBot="1" x14ac:dyDescent="0.25">
      <c r="A97" s="430"/>
      <c r="B97" s="512" t="s">
        <v>112</v>
      </c>
      <c r="C97" s="1326" t="s">
        <v>30</v>
      </c>
      <c r="D97" s="1327"/>
      <c r="E97" s="1326" t="s">
        <v>31</v>
      </c>
      <c r="F97" s="1327"/>
      <c r="G97" s="1254" t="s">
        <v>110</v>
      </c>
      <c r="H97" s="1219"/>
      <c r="I97" s="1249" t="s">
        <v>111</v>
      </c>
      <c r="J97" s="1257"/>
      <c r="K97" s="1249" t="s">
        <v>128</v>
      </c>
      <c r="L97" s="1257"/>
      <c r="M97" s="1254" t="s">
        <v>129</v>
      </c>
      <c r="N97" s="1219"/>
      <c r="O97" s="1218" t="s">
        <v>156</v>
      </c>
      <c r="P97" s="1219"/>
      <c r="Q97" s="1218" t="s">
        <v>161</v>
      </c>
      <c r="R97" s="1219"/>
      <c r="S97" s="1218" t="s">
        <v>180</v>
      </c>
      <c r="T97" s="1219"/>
      <c r="U97" s="1218" t="s">
        <v>190</v>
      </c>
      <c r="V97" s="1219"/>
      <c r="W97" s="1218" t="s">
        <v>195</v>
      </c>
      <c r="X97" s="1219"/>
      <c r="Y97" s="1218" t="s">
        <v>199</v>
      </c>
      <c r="Z97" s="1219"/>
      <c r="AA97" s="890"/>
      <c r="AB97" s="1352" t="s">
        <v>142</v>
      </c>
      <c r="AC97" s="1353"/>
      <c r="AD97" s="432"/>
      <c r="AE97" s="432"/>
    </row>
    <row r="98" spans="1:31" x14ac:dyDescent="0.2">
      <c r="A98" s="430"/>
      <c r="B98" s="513"/>
      <c r="C98" s="751" t="s">
        <v>82</v>
      </c>
      <c r="D98" s="515" t="s">
        <v>17</v>
      </c>
      <c r="E98" s="751" t="s">
        <v>82</v>
      </c>
      <c r="F98" s="515" t="s">
        <v>17</v>
      </c>
      <c r="G98" s="751" t="s">
        <v>82</v>
      </c>
      <c r="H98" s="515" t="s">
        <v>17</v>
      </c>
      <c r="I98" s="514" t="s">
        <v>82</v>
      </c>
      <c r="J98" s="515" t="s">
        <v>17</v>
      </c>
      <c r="K98" s="514" t="s">
        <v>82</v>
      </c>
      <c r="L98" s="515" t="s">
        <v>17</v>
      </c>
      <c r="M98" s="514" t="s">
        <v>82</v>
      </c>
      <c r="N98" s="515" t="s">
        <v>17</v>
      </c>
      <c r="O98" s="514" t="s">
        <v>82</v>
      </c>
      <c r="P98" s="515" t="s">
        <v>17</v>
      </c>
      <c r="Q98" s="751" t="s">
        <v>82</v>
      </c>
      <c r="R98" s="515" t="s">
        <v>17</v>
      </c>
      <c r="S98" s="751" t="s">
        <v>82</v>
      </c>
      <c r="T98" s="515" t="s">
        <v>17</v>
      </c>
      <c r="U98" s="751" t="s">
        <v>82</v>
      </c>
      <c r="V98" s="515" t="s">
        <v>17</v>
      </c>
      <c r="W98" s="751" t="s">
        <v>82</v>
      </c>
      <c r="X98" s="515" t="s">
        <v>17</v>
      </c>
      <c r="Y98" s="751" t="s">
        <v>82</v>
      </c>
      <c r="Z98" s="515" t="s">
        <v>17</v>
      </c>
      <c r="AA98" s="22"/>
      <c r="AB98" s="722" t="s">
        <v>82</v>
      </c>
      <c r="AC98" s="723" t="s">
        <v>17</v>
      </c>
      <c r="AD98" s="432"/>
      <c r="AE98" s="432"/>
    </row>
    <row r="99" spans="1:31" x14ac:dyDescent="0.2">
      <c r="A99" s="430"/>
      <c r="B99" s="283" t="s">
        <v>113</v>
      </c>
      <c r="C99" s="517">
        <v>2</v>
      </c>
      <c r="D99" s="518">
        <v>0.9</v>
      </c>
      <c r="E99" s="517">
        <v>1</v>
      </c>
      <c r="F99" s="518">
        <v>0.4</v>
      </c>
      <c r="G99" s="517">
        <v>1</v>
      </c>
      <c r="H99" s="518">
        <v>0.5</v>
      </c>
      <c r="I99" s="517">
        <v>0</v>
      </c>
      <c r="J99" s="518">
        <v>0</v>
      </c>
      <c r="K99" s="517">
        <v>2</v>
      </c>
      <c r="L99" s="518">
        <v>1</v>
      </c>
      <c r="M99" s="721">
        <v>2</v>
      </c>
      <c r="N99" s="792">
        <v>1</v>
      </c>
      <c r="O99" s="721">
        <v>1</v>
      </c>
      <c r="P99" s="792">
        <v>0.5</v>
      </c>
      <c r="Q99" s="721">
        <v>1</v>
      </c>
      <c r="R99" s="792">
        <v>0.5</v>
      </c>
      <c r="S99" s="721">
        <v>0</v>
      </c>
      <c r="T99" s="792">
        <v>0</v>
      </c>
      <c r="U99" s="721">
        <v>0</v>
      </c>
      <c r="V99" s="792">
        <v>0</v>
      </c>
      <c r="W99" s="721">
        <v>0</v>
      </c>
      <c r="X99" s="792">
        <v>0</v>
      </c>
      <c r="Y99" s="721">
        <v>0</v>
      </c>
      <c r="Z99" s="792">
        <v>0</v>
      </c>
      <c r="AA99" s="22"/>
      <c r="AB99" s="788">
        <f t="shared" ref="AB99:AB101" si="30">AVERAGE(Y99,W99,U99,S99,Q99)</f>
        <v>0.2</v>
      </c>
      <c r="AC99" s="685">
        <f t="shared" ref="AC99:AC101" si="31">AVERAGE(Z99,X99,V99,T99,R99)</f>
        <v>0.1</v>
      </c>
      <c r="AD99" s="432"/>
      <c r="AE99" s="432"/>
    </row>
    <row r="100" spans="1:31" x14ac:dyDescent="0.2">
      <c r="A100" s="430"/>
      <c r="B100" s="283" t="s">
        <v>114</v>
      </c>
      <c r="C100" s="517">
        <v>3</v>
      </c>
      <c r="D100" s="518">
        <v>1.5</v>
      </c>
      <c r="E100" s="517">
        <v>4</v>
      </c>
      <c r="F100" s="518">
        <v>2</v>
      </c>
      <c r="G100" s="517">
        <v>6</v>
      </c>
      <c r="H100" s="518">
        <v>3</v>
      </c>
      <c r="I100" s="517">
        <v>6</v>
      </c>
      <c r="J100" s="518">
        <v>3</v>
      </c>
      <c r="K100" s="517">
        <v>2</v>
      </c>
      <c r="L100" s="518">
        <v>1</v>
      </c>
      <c r="M100" s="721">
        <v>1</v>
      </c>
      <c r="N100" s="792">
        <v>0.5</v>
      </c>
      <c r="O100" s="721">
        <v>1</v>
      </c>
      <c r="P100" s="792">
        <v>0.4</v>
      </c>
      <c r="Q100" s="721">
        <v>2</v>
      </c>
      <c r="R100" s="792">
        <v>1</v>
      </c>
      <c r="S100" s="721">
        <v>3</v>
      </c>
      <c r="T100" s="792">
        <v>1.1000000000000001</v>
      </c>
      <c r="U100" s="721">
        <v>2</v>
      </c>
      <c r="V100" s="792">
        <v>1</v>
      </c>
      <c r="W100" s="721">
        <v>3</v>
      </c>
      <c r="X100" s="792">
        <v>1.5</v>
      </c>
      <c r="Y100" s="721">
        <v>3</v>
      </c>
      <c r="Z100" s="792">
        <v>1.5</v>
      </c>
      <c r="AA100" s="22"/>
      <c r="AB100" s="788">
        <f t="shared" si="30"/>
        <v>2.6</v>
      </c>
      <c r="AC100" s="685">
        <f t="shared" si="31"/>
        <v>1.22</v>
      </c>
      <c r="AD100" s="1"/>
      <c r="AE100" s="1"/>
    </row>
    <row r="101" spans="1:31" ht="13.5" thickBot="1" x14ac:dyDescent="0.25">
      <c r="A101" s="430"/>
      <c r="B101" s="519" t="s">
        <v>137</v>
      </c>
      <c r="C101" s="517">
        <v>0</v>
      </c>
      <c r="D101" s="520">
        <v>0</v>
      </c>
      <c r="E101" s="517">
        <v>0</v>
      </c>
      <c r="F101" s="520">
        <v>0</v>
      </c>
      <c r="G101" s="517">
        <v>0</v>
      </c>
      <c r="H101" s="520">
        <v>0</v>
      </c>
      <c r="I101" s="517">
        <v>0</v>
      </c>
      <c r="J101" s="520">
        <v>0</v>
      </c>
      <c r="K101" s="517">
        <v>0</v>
      </c>
      <c r="L101" s="520">
        <v>0</v>
      </c>
      <c r="M101" s="721">
        <v>0</v>
      </c>
      <c r="N101" s="793">
        <v>0</v>
      </c>
      <c r="O101" s="721">
        <v>0</v>
      </c>
      <c r="P101" s="793">
        <v>0</v>
      </c>
      <c r="Q101" s="721">
        <v>0</v>
      </c>
      <c r="R101" s="793">
        <v>0</v>
      </c>
      <c r="S101" s="721">
        <v>0</v>
      </c>
      <c r="T101" s="793">
        <v>0</v>
      </c>
      <c r="U101" s="721">
        <v>0</v>
      </c>
      <c r="V101" s="793">
        <v>0</v>
      </c>
      <c r="W101" s="721">
        <v>0</v>
      </c>
      <c r="X101" s="793">
        <v>0</v>
      </c>
      <c r="Y101" s="721">
        <v>0</v>
      </c>
      <c r="Z101" s="793">
        <v>0</v>
      </c>
      <c r="AA101" s="22"/>
      <c r="AB101" s="788">
        <f t="shared" si="30"/>
        <v>0</v>
      </c>
      <c r="AC101" s="685">
        <f t="shared" si="31"/>
        <v>0</v>
      </c>
      <c r="AD101" s="1"/>
      <c r="AE101" s="22"/>
    </row>
    <row r="102" spans="1:31" ht="17.25" thickTop="1" thickBot="1" x14ac:dyDescent="0.3">
      <c r="A102" s="521"/>
      <c r="B102" s="522"/>
      <c r="C102" s="1326" t="s">
        <v>30</v>
      </c>
      <c r="D102" s="1327"/>
      <c r="E102" s="1326" t="s">
        <v>31</v>
      </c>
      <c r="F102" s="1327"/>
      <c r="G102" s="1254" t="s">
        <v>110</v>
      </c>
      <c r="H102" s="1219"/>
      <c r="I102" s="1249" t="s">
        <v>111</v>
      </c>
      <c r="J102" s="1257"/>
      <c r="K102" s="1249" t="s">
        <v>128</v>
      </c>
      <c r="L102" s="1257"/>
      <c r="M102" s="1254" t="s">
        <v>129</v>
      </c>
      <c r="N102" s="1219"/>
      <c r="O102" s="1218" t="s">
        <v>169</v>
      </c>
      <c r="P102" s="1219"/>
      <c r="Q102" s="1218" t="s">
        <v>161</v>
      </c>
      <c r="R102" s="1219"/>
      <c r="S102" s="1218" t="s">
        <v>180</v>
      </c>
      <c r="T102" s="1219"/>
      <c r="U102" s="1218" t="s">
        <v>190</v>
      </c>
      <c r="V102" s="1219"/>
      <c r="W102" s="1218" t="s">
        <v>195</v>
      </c>
      <c r="X102" s="1219"/>
      <c r="Y102" s="1218" t="s">
        <v>199</v>
      </c>
      <c r="Z102" s="1219"/>
      <c r="AA102" s="1054"/>
      <c r="AB102" s="1346"/>
      <c r="AC102" s="1347"/>
      <c r="AD102" s="1"/>
      <c r="AE102" s="1"/>
    </row>
    <row r="103" spans="1:31" x14ac:dyDescent="0.2">
      <c r="A103" s="1"/>
      <c r="B103" s="524" t="s">
        <v>205</v>
      </c>
      <c r="C103" s="203"/>
      <c r="D103" s="752"/>
      <c r="E103" s="526"/>
      <c r="F103" s="527"/>
      <c r="G103" s="528"/>
      <c r="H103" s="529"/>
      <c r="I103" s="530"/>
      <c r="J103" s="243"/>
      <c r="K103" s="531"/>
      <c r="L103" s="532"/>
      <c r="M103" s="531"/>
      <c r="N103" s="547"/>
      <c r="O103" s="1038"/>
      <c r="P103" s="1039"/>
      <c r="Q103" s="531"/>
      <c r="R103" s="547"/>
      <c r="S103" s="531"/>
      <c r="T103" s="547"/>
      <c r="U103" s="203"/>
      <c r="V103" s="884"/>
      <c r="W103" s="531"/>
      <c r="X103" s="547"/>
      <c r="Y103" s="531"/>
      <c r="Z103" s="547"/>
      <c r="AA103" s="22"/>
      <c r="AB103" s="1055"/>
      <c r="AC103" s="1055"/>
      <c r="AD103" s="1"/>
      <c r="AE103" s="1"/>
    </row>
    <row r="104" spans="1:31" x14ac:dyDescent="0.2">
      <c r="A104" s="430"/>
      <c r="B104" s="534" t="s">
        <v>118</v>
      </c>
      <c r="C104" s="1262">
        <v>2.2749999999999999</v>
      </c>
      <c r="D104" s="1263"/>
      <c r="E104" s="535"/>
      <c r="F104" s="536"/>
      <c r="G104" s="537"/>
      <c r="H104" s="538"/>
      <c r="I104" s="867"/>
      <c r="J104" s="868">
        <v>9.5</v>
      </c>
      <c r="K104" s="539"/>
      <c r="L104" s="540"/>
      <c r="M104" s="539"/>
      <c r="N104" s="547"/>
      <c r="O104" s="1043"/>
      <c r="P104" s="1044">
        <v>12.3</v>
      </c>
      <c r="Q104" s="539"/>
      <c r="R104" s="547"/>
      <c r="S104" s="539"/>
      <c r="T104" s="547"/>
      <c r="U104" s="136"/>
      <c r="V104" s="1044">
        <v>11.8</v>
      </c>
      <c r="W104" s="539"/>
      <c r="X104" s="547"/>
      <c r="Y104" s="539"/>
      <c r="Z104" s="547"/>
      <c r="AA104" s="22"/>
      <c r="AB104" s="1055"/>
      <c r="AC104" s="1056"/>
      <c r="AD104" s="1"/>
      <c r="AE104" s="1"/>
    </row>
    <row r="105" spans="1:31" x14ac:dyDescent="0.2">
      <c r="A105" s="430"/>
      <c r="B105" s="542" t="s">
        <v>119</v>
      </c>
      <c r="C105" s="1262"/>
      <c r="D105" s="1263"/>
      <c r="E105" s="535"/>
      <c r="F105" s="536"/>
      <c r="G105" s="537"/>
      <c r="H105" s="538"/>
      <c r="I105" s="867"/>
      <c r="J105" s="868"/>
      <c r="K105" s="539"/>
      <c r="L105" s="540"/>
      <c r="M105" s="539"/>
      <c r="N105" s="547"/>
      <c r="O105" s="1043"/>
      <c r="P105" s="1044"/>
      <c r="Q105" s="539"/>
      <c r="R105" s="547"/>
      <c r="S105" s="539"/>
      <c r="T105" s="547"/>
      <c r="U105" s="136"/>
      <c r="V105" s="1044"/>
      <c r="W105" s="539"/>
      <c r="X105" s="547"/>
      <c r="Y105" s="539"/>
      <c r="Z105" s="547"/>
      <c r="AA105" s="22"/>
      <c r="AB105" s="1055"/>
      <c r="AC105" s="1056"/>
      <c r="AD105" s="1"/>
      <c r="AE105" s="1"/>
    </row>
    <row r="106" spans="1:31" x14ac:dyDescent="0.2">
      <c r="A106" s="430"/>
      <c r="B106" s="542" t="s">
        <v>120</v>
      </c>
      <c r="C106" s="1262">
        <v>0</v>
      </c>
      <c r="D106" s="1263"/>
      <c r="E106" s="535"/>
      <c r="F106" s="536"/>
      <c r="G106" s="537"/>
      <c r="H106" s="538"/>
      <c r="I106" s="867"/>
      <c r="J106" s="868">
        <v>1.5</v>
      </c>
      <c r="K106" s="539"/>
      <c r="L106" s="540"/>
      <c r="M106" s="539"/>
      <c r="N106" s="547"/>
      <c r="O106" s="1043"/>
      <c r="P106" s="1044">
        <v>0</v>
      </c>
      <c r="Q106" s="539"/>
      <c r="R106" s="547"/>
      <c r="S106" s="539"/>
      <c r="T106" s="547"/>
      <c r="U106" s="136"/>
      <c r="V106" s="1044">
        <v>0.1</v>
      </c>
      <c r="W106" s="539"/>
      <c r="X106" s="547"/>
      <c r="Y106" s="539"/>
      <c r="Z106" s="547"/>
      <c r="AA106" s="22"/>
      <c r="AB106" s="1055"/>
      <c r="AC106" s="1056"/>
      <c r="AD106" s="1"/>
      <c r="AE106" s="1"/>
    </row>
    <row r="107" spans="1:31" x14ac:dyDescent="0.2">
      <c r="A107" s="430"/>
      <c r="B107" s="534" t="s">
        <v>121</v>
      </c>
      <c r="C107" s="1262">
        <v>0</v>
      </c>
      <c r="D107" s="1263"/>
      <c r="E107" s="535"/>
      <c r="F107" s="536"/>
      <c r="G107" s="537"/>
      <c r="H107" s="538"/>
      <c r="I107" s="867"/>
      <c r="J107" s="868">
        <v>2.5</v>
      </c>
      <c r="K107" s="539"/>
      <c r="L107" s="540"/>
      <c r="M107" s="539"/>
      <c r="N107" s="547"/>
      <c r="O107" s="1043"/>
      <c r="P107" s="1044">
        <v>0.4</v>
      </c>
      <c r="Q107" s="539"/>
      <c r="R107" s="547"/>
      <c r="S107" s="539"/>
      <c r="T107" s="547"/>
      <c r="U107" s="136"/>
      <c r="V107" s="1044">
        <v>1</v>
      </c>
      <c r="W107" s="539"/>
      <c r="X107" s="547"/>
      <c r="Y107" s="539"/>
      <c r="Z107" s="547"/>
      <c r="AA107" s="22"/>
      <c r="AB107" s="1055"/>
      <c r="AC107" s="1056"/>
      <c r="AD107" s="1"/>
      <c r="AE107" s="1"/>
    </row>
    <row r="108" spans="1:31" x14ac:dyDescent="0.2">
      <c r="A108" s="430"/>
      <c r="B108" s="543" t="s">
        <v>122</v>
      </c>
      <c r="C108" s="1262">
        <v>2.8</v>
      </c>
      <c r="D108" s="1263"/>
      <c r="E108" s="535"/>
      <c r="F108" s="536"/>
      <c r="G108" s="537"/>
      <c r="H108" s="538"/>
      <c r="I108" s="867"/>
      <c r="J108" s="868">
        <v>5.39</v>
      </c>
      <c r="K108" s="539"/>
      <c r="L108" s="540"/>
      <c r="M108" s="539"/>
      <c r="N108" s="547"/>
      <c r="O108" s="1043"/>
      <c r="P108" s="1044">
        <f>5.6+3.2+2.1</f>
        <v>10.9</v>
      </c>
      <c r="Q108" s="539"/>
      <c r="R108" s="547"/>
      <c r="S108" s="539"/>
      <c r="T108" s="547"/>
      <c r="U108" s="136"/>
      <c r="V108" s="1044">
        <f>7.65+5.14+1.8</f>
        <v>14.59</v>
      </c>
      <c r="W108" s="539"/>
      <c r="X108" s="547"/>
      <c r="Y108" s="539"/>
      <c r="Z108" s="547"/>
      <c r="AA108" s="22"/>
      <c r="AB108" s="1055"/>
      <c r="AC108" s="1056"/>
      <c r="AD108" s="1"/>
      <c r="AE108" s="1"/>
    </row>
    <row r="109" spans="1:31" x14ac:dyDescent="0.2">
      <c r="A109" s="430"/>
      <c r="B109" s="543" t="s">
        <v>123</v>
      </c>
      <c r="C109" s="1262">
        <v>5.0750000000000002</v>
      </c>
      <c r="D109" s="1263"/>
      <c r="E109" s="535"/>
      <c r="F109" s="536"/>
      <c r="G109" s="537"/>
      <c r="H109" s="538"/>
      <c r="I109" s="867"/>
      <c r="J109" s="868">
        <v>18.89</v>
      </c>
      <c r="K109" s="539"/>
      <c r="L109" s="540"/>
      <c r="M109" s="539"/>
      <c r="N109" s="547"/>
      <c r="O109" s="1043"/>
      <c r="P109" s="1044">
        <f>SUM(P104:P108)</f>
        <v>23.6</v>
      </c>
      <c r="Q109" s="539"/>
      <c r="R109" s="547"/>
      <c r="S109" s="539"/>
      <c r="T109" s="547"/>
      <c r="U109" s="136"/>
      <c r="V109" s="1044">
        <f>SUM(V104:V108)</f>
        <v>27.490000000000002</v>
      </c>
      <c r="W109" s="539"/>
      <c r="X109" s="547"/>
      <c r="Y109" s="539"/>
      <c r="Z109" s="547"/>
      <c r="AA109" s="22"/>
      <c r="AB109" s="1055"/>
      <c r="AC109" s="1056"/>
      <c r="AD109" s="1"/>
      <c r="AE109" s="1"/>
    </row>
    <row r="110" spans="1:31" ht="13.5" thickBot="1" x14ac:dyDescent="0.25">
      <c r="A110" s="430"/>
      <c r="B110" s="544" t="s">
        <v>130</v>
      </c>
      <c r="C110" s="1316"/>
      <c r="D110" s="1317"/>
      <c r="E110" s="545"/>
      <c r="F110" s="546"/>
      <c r="G110" s="531"/>
      <c r="H110" s="547"/>
      <c r="I110" s="871"/>
      <c r="J110" s="872"/>
      <c r="K110" s="539"/>
      <c r="L110" s="540"/>
      <c r="M110" s="539"/>
      <c r="N110" s="547"/>
      <c r="O110" s="1043"/>
      <c r="P110" s="884"/>
      <c r="Q110" s="539"/>
      <c r="R110" s="547"/>
      <c r="S110" s="539"/>
      <c r="T110" s="547"/>
      <c r="U110" s="136"/>
      <c r="V110" s="884"/>
      <c r="W110" s="539"/>
      <c r="X110" s="547"/>
      <c r="Y110" s="539"/>
      <c r="Z110" s="547"/>
      <c r="AA110" s="22"/>
      <c r="AB110" s="1055"/>
      <c r="AC110" s="1056"/>
      <c r="AD110" s="1"/>
      <c r="AE110" s="1"/>
    </row>
    <row r="111" spans="1:31" x14ac:dyDescent="0.2">
      <c r="A111" s="430"/>
      <c r="B111" s="534" t="s">
        <v>124</v>
      </c>
      <c r="C111" s="1314">
        <v>205</v>
      </c>
      <c r="D111" s="1315"/>
      <c r="E111" s="548"/>
      <c r="F111" s="549"/>
      <c r="G111" s="550"/>
      <c r="H111" s="551"/>
      <c r="I111" s="869"/>
      <c r="J111" s="870">
        <v>1341</v>
      </c>
      <c r="K111" s="539"/>
      <c r="L111" s="540"/>
      <c r="M111" s="539"/>
      <c r="N111" s="547"/>
      <c r="O111" s="1045"/>
      <c r="P111" s="1046">
        <v>2458</v>
      </c>
      <c r="Q111" s="539"/>
      <c r="R111" s="547"/>
      <c r="S111" s="539"/>
      <c r="T111" s="547"/>
      <c r="U111" s="136"/>
      <c r="V111" s="1046">
        <v>1864</v>
      </c>
      <c r="W111" s="539"/>
      <c r="X111" s="547"/>
      <c r="Y111" s="539"/>
      <c r="Z111" s="547"/>
      <c r="AA111" s="22"/>
      <c r="AB111" s="1055"/>
      <c r="AC111" s="1056"/>
      <c r="AD111" s="1"/>
      <c r="AE111" s="1"/>
    </row>
    <row r="112" spans="1:31" x14ac:dyDescent="0.2">
      <c r="A112" s="430"/>
      <c r="B112" s="543" t="s">
        <v>125</v>
      </c>
      <c r="C112" s="1314">
        <v>0</v>
      </c>
      <c r="D112" s="1315"/>
      <c r="E112" s="548"/>
      <c r="F112" s="549"/>
      <c r="G112" s="550"/>
      <c r="H112" s="551"/>
      <c r="I112" s="869"/>
      <c r="J112" s="870">
        <v>239</v>
      </c>
      <c r="K112" s="539"/>
      <c r="L112" s="540"/>
      <c r="M112" s="539"/>
      <c r="N112" s="547"/>
      <c r="O112" s="1045"/>
      <c r="P112" s="1046">
        <v>0</v>
      </c>
      <c r="Q112" s="539"/>
      <c r="R112" s="547"/>
      <c r="S112" s="539"/>
      <c r="T112" s="547"/>
      <c r="U112" s="136"/>
      <c r="V112" s="1046">
        <v>117</v>
      </c>
      <c r="W112" s="539"/>
      <c r="X112" s="547"/>
      <c r="Y112" s="539"/>
      <c r="Z112" s="547"/>
      <c r="AA112" s="22"/>
      <c r="AB112" s="1055"/>
      <c r="AC112" s="1056"/>
      <c r="AD112" s="1"/>
      <c r="AE112" s="1"/>
    </row>
    <row r="113" spans="1:31" x14ac:dyDescent="0.2">
      <c r="A113" s="430"/>
      <c r="B113" s="543" t="s">
        <v>126</v>
      </c>
      <c r="C113" s="1314">
        <v>1460</v>
      </c>
      <c r="D113" s="1315"/>
      <c r="E113" s="548"/>
      <c r="F113" s="549"/>
      <c r="G113" s="550"/>
      <c r="H113" s="551"/>
      <c r="I113" s="869"/>
      <c r="J113" s="870">
        <v>1789</v>
      </c>
      <c r="K113" s="539"/>
      <c r="L113" s="540"/>
      <c r="M113" s="539"/>
      <c r="N113" s="547"/>
      <c r="O113" s="1045"/>
      <c r="P113" s="1046">
        <f>720+695+1141</f>
        <v>2556</v>
      </c>
      <c r="Q113" s="539"/>
      <c r="R113" s="547"/>
      <c r="S113" s="539"/>
      <c r="T113" s="547"/>
      <c r="U113" s="136"/>
      <c r="V113" s="1046">
        <f>1540+1031+850</f>
        <v>3421</v>
      </c>
      <c r="W113" s="539"/>
      <c r="X113" s="547"/>
      <c r="Y113" s="539"/>
      <c r="Z113" s="547"/>
      <c r="AA113" s="22"/>
      <c r="AB113" s="1055"/>
      <c r="AC113" s="1056"/>
      <c r="AD113" s="1"/>
      <c r="AE113" s="1"/>
    </row>
    <row r="114" spans="1:31" x14ac:dyDescent="0.2">
      <c r="A114" s="430"/>
      <c r="B114" s="543" t="s">
        <v>135</v>
      </c>
      <c r="C114" s="1314">
        <v>1665</v>
      </c>
      <c r="D114" s="1315"/>
      <c r="E114" s="548"/>
      <c r="F114" s="549"/>
      <c r="G114" s="550"/>
      <c r="H114" s="551"/>
      <c r="I114" s="869"/>
      <c r="J114" s="870">
        <v>3369</v>
      </c>
      <c r="K114" s="539"/>
      <c r="L114" s="540"/>
      <c r="M114" s="539"/>
      <c r="N114" s="547"/>
      <c r="O114" s="1045"/>
      <c r="P114" s="1046">
        <f>SUM(P111:P113)</f>
        <v>5014</v>
      </c>
      <c r="Q114" s="539"/>
      <c r="R114" s="547"/>
      <c r="S114" s="539"/>
      <c r="T114" s="547"/>
      <c r="U114" s="136"/>
      <c r="V114" s="1046">
        <f>SUM(V111:V113)</f>
        <v>5402</v>
      </c>
      <c r="W114" s="539"/>
      <c r="X114" s="547"/>
      <c r="Y114" s="539"/>
      <c r="Z114" s="547"/>
      <c r="AA114" s="22"/>
      <c r="AB114" s="1055"/>
      <c r="AC114" s="1056"/>
      <c r="AD114" s="1"/>
      <c r="AE114" s="1"/>
    </row>
    <row r="115" spans="1:31" ht="13.5" thickBot="1" x14ac:dyDescent="0.25">
      <c r="A115" s="430"/>
      <c r="B115" s="544" t="s">
        <v>131</v>
      </c>
      <c r="C115" s="1316"/>
      <c r="D115" s="1317"/>
      <c r="E115" s="545"/>
      <c r="F115" s="546"/>
      <c r="G115" s="531"/>
      <c r="H115" s="547"/>
      <c r="I115" s="871"/>
      <c r="J115" s="872"/>
      <c r="K115" s="539"/>
      <c r="L115" s="540"/>
      <c r="M115" s="539"/>
      <c r="N115" s="547"/>
      <c r="O115" s="1047"/>
      <c r="P115" s="1044"/>
      <c r="Q115" s="539"/>
      <c r="R115" s="547"/>
      <c r="S115" s="539"/>
      <c r="T115" s="547"/>
      <c r="U115" s="136"/>
      <c r="V115" s="1044"/>
      <c r="W115" s="539"/>
      <c r="X115" s="547"/>
      <c r="Y115" s="539"/>
      <c r="Z115" s="547"/>
      <c r="AA115" s="22"/>
      <c r="AB115" s="1055"/>
      <c r="AC115" s="1056"/>
      <c r="AD115" s="22"/>
      <c r="AE115" s="22"/>
    </row>
    <row r="116" spans="1:31" x14ac:dyDescent="0.2">
      <c r="A116" s="430"/>
      <c r="B116" s="534" t="s">
        <v>132</v>
      </c>
      <c r="C116" s="1264">
        <v>90.109890109999995</v>
      </c>
      <c r="D116" s="1265"/>
      <c r="E116" s="552"/>
      <c r="F116" s="553"/>
      <c r="G116" s="554"/>
      <c r="H116" s="555"/>
      <c r="I116" s="865"/>
      <c r="J116" s="866">
        <v>141</v>
      </c>
      <c r="K116" s="556"/>
      <c r="L116" s="557"/>
      <c r="M116" s="556"/>
      <c r="N116" s="555"/>
      <c r="O116" s="1047"/>
      <c r="P116" s="888">
        <f>P111/P104</f>
        <v>199.83739837398372</v>
      </c>
      <c r="Q116" s="556"/>
      <c r="R116" s="555"/>
      <c r="S116" s="556"/>
      <c r="T116" s="555"/>
      <c r="U116" s="774"/>
      <c r="V116" s="888">
        <f>V111/V104</f>
        <v>157.96610169491524</v>
      </c>
      <c r="W116" s="556"/>
      <c r="X116" s="555"/>
      <c r="Y116" s="556"/>
      <c r="Z116" s="555"/>
      <c r="AA116" s="626"/>
      <c r="AB116" s="1057"/>
      <c r="AC116" s="1056"/>
      <c r="AD116" s="432"/>
      <c r="AE116" s="432"/>
    </row>
    <row r="117" spans="1:31" x14ac:dyDescent="0.2">
      <c r="A117" s="430"/>
      <c r="B117" s="543" t="s">
        <v>133</v>
      </c>
      <c r="C117" s="1264">
        <v>0</v>
      </c>
      <c r="D117" s="1265"/>
      <c r="E117" s="552"/>
      <c r="F117" s="553"/>
      <c r="G117" s="554"/>
      <c r="H117" s="555"/>
      <c r="I117" s="865"/>
      <c r="J117" s="866">
        <v>159</v>
      </c>
      <c r="K117" s="556"/>
      <c r="L117" s="557"/>
      <c r="M117" s="556"/>
      <c r="N117" s="555"/>
      <c r="O117" s="1047"/>
      <c r="P117" s="888">
        <v>0</v>
      </c>
      <c r="Q117" s="556"/>
      <c r="R117" s="555"/>
      <c r="S117" s="556"/>
      <c r="T117" s="555"/>
      <c r="U117" s="774"/>
      <c r="V117" s="888">
        <f>V112/(V106+V107)</f>
        <v>106.36363636363636</v>
      </c>
      <c r="W117" s="556"/>
      <c r="X117" s="555"/>
      <c r="Y117" s="556"/>
      <c r="Z117" s="555"/>
      <c r="AA117" s="626"/>
      <c r="AB117" s="1057"/>
      <c r="AC117" s="1056"/>
      <c r="AD117" s="432"/>
      <c r="AE117" s="432"/>
    </row>
    <row r="118" spans="1:31" x14ac:dyDescent="0.2">
      <c r="A118" s="430"/>
      <c r="B118" s="543" t="s">
        <v>134</v>
      </c>
      <c r="C118" s="1264">
        <v>521.4</v>
      </c>
      <c r="D118" s="1265"/>
      <c r="E118" s="552"/>
      <c r="F118" s="553"/>
      <c r="G118" s="554"/>
      <c r="H118" s="555"/>
      <c r="I118" s="865"/>
      <c r="J118" s="866">
        <v>332</v>
      </c>
      <c r="K118" s="556"/>
      <c r="L118" s="557"/>
      <c r="M118" s="556"/>
      <c r="N118" s="555"/>
      <c r="O118" s="1047"/>
      <c r="P118" s="888">
        <f>P113/P108</f>
        <v>234.49541284403668</v>
      </c>
      <c r="Q118" s="556"/>
      <c r="R118" s="555"/>
      <c r="S118" s="556"/>
      <c r="T118" s="555"/>
      <c r="U118" s="774"/>
      <c r="V118" s="888">
        <f>V113/V108</f>
        <v>234.47566826593558</v>
      </c>
      <c r="W118" s="556"/>
      <c r="X118" s="555"/>
      <c r="Y118" s="556"/>
      <c r="Z118" s="555"/>
      <c r="AA118" s="626"/>
      <c r="AB118" s="1057"/>
      <c r="AC118" s="1056"/>
      <c r="AD118" s="432"/>
      <c r="AE118" s="432"/>
    </row>
    <row r="119" spans="1:31" ht="13.5" thickBot="1" x14ac:dyDescent="0.25">
      <c r="A119" s="430"/>
      <c r="B119" s="559" t="s">
        <v>127</v>
      </c>
      <c r="C119" s="1328">
        <v>328.08</v>
      </c>
      <c r="D119" s="1329"/>
      <c r="E119" s="560"/>
      <c r="F119" s="561"/>
      <c r="G119" s="562"/>
      <c r="H119" s="563"/>
      <c r="I119" s="873"/>
      <c r="J119" s="874">
        <v>178</v>
      </c>
      <c r="K119" s="562"/>
      <c r="L119" s="563"/>
      <c r="M119" s="562"/>
      <c r="N119" s="563"/>
      <c r="O119" s="1052"/>
      <c r="P119" s="889">
        <f>P114/P109</f>
        <v>212.45762711864404</v>
      </c>
      <c r="Q119" s="562"/>
      <c r="R119" s="563"/>
      <c r="S119" s="562"/>
      <c r="T119" s="563"/>
      <c r="U119" s="1190"/>
      <c r="V119" s="889">
        <f>V114/V109</f>
        <v>196.50782102582755</v>
      </c>
      <c r="W119" s="562"/>
      <c r="X119" s="563"/>
      <c r="Y119" s="562"/>
      <c r="Z119" s="563"/>
      <c r="AA119" s="626"/>
      <c r="AB119" s="1057"/>
      <c r="AC119" s="1056"/>
      <c r="AD119" s="432"/>
      <c r="AE119" s="432"/>
    </row>
    <row r="120" spans="1:31" ht="13.5" thickTop="1" x14ac:dyDescent="0.2">
      <c r="B120" t="str">
        <f>'ED Sum'!B117</f>
        <v>*Note: For the 2009 collection cycle and later, Instructional FTE was defined according to the national Delaware Study of Instructional Costs and Productivity</v>
      </c>
      <c r="C120" s="204"/>
      <c r="D120" s="204"/>
      <c r="E120" s="204"/>
      <c r="F120" s="204"/>
      <c r="G120" s="204"/>
      <c r="H120" s="204"/>
      <c r="AC120" s="578"/>
    </row>
  </sheetData>
  <mergeCells count="144">
    <mergeCell ref="M34:N34"/>
    <mergeCell ref="M37:N37"/>
    <mergeCell ref="M36:N36"/>
    <mergeCell ref="M35:N35"/>
    <mergeCell ref="Y102:Z102"/>
    <mergeCell ref="AB37:AC37"/>
    <mergeCell ref="Y7:Z7"/>
    <mergeCell ref="Y26:Z26"/>
    <mergeCell ref="Y34:Z34"/>
    <mergeCell ref="Y35:Z35"/>
    <mergeCell ref="Y36:Z36"/>
    <mergeCell ref="Y37:Z37"/>
    <mergeCell ref="Y41:Z41"/>
    <mergeCell ref="Y67:Z67"/>
    <mergeCell ref="Y97:Z97"/>
    <mergeCell ref="AB102:AC102"/>
    <mergeCell ref="AB7:AC7"/>
    <mergeCell ref="AB26:AC26"/>
    <mergeCell ref="AB97:AC97"/>
    <mergeCell ref="AB67:AC67"/>
    <mergeCell ref="AB41:AC41"/>
    <mergeCell ref="AB34:AC34"/>
    <mergeCell ref="M7:N7"/>
    <mergeCell ref="M26:N26"/>
    <mergeCell ref="C7:D7"/>
    <mergeCell ref="C26:D26"/>
    <mergeCell ref="E7:F7"/>
    <mergeCell ref="G7:H7"/>
    <mergeCell ref="E26:F26"/>
    <mergeCell ref="G26:H26"/>
    <mergeCell ref="I36:J36"/>
    <mergeCell ref="K36:L36"/>
    <mergeCell ref="C41:D41"/>
    <mergeCell ref="I35:J35"/>
    <mergeCell ref="I7:J7"/>
    <mergeCell ref="I26:J26"/>
    <mergeCell ref="I34:J34"/>
    <mergeCell ref="K34:L34"/>
    <mergeCell ref="K7:L7"/>
    <mergeCell ref="K26:L26"/>
    <mergeCell ref="K41:L41"/>
    <mergeCell ref="K35:L35"/>
    <mergeCell ref="W67:X67"/>
    <mergeCell ref="W97:X97"/>
    <mergeCell ref="W102:X102"/>
    <mergeCell ref="K97:L97"/>
    <mergeCell ref="C67:D67"/>
    <mergeCell ref="C34:D34"/>
    <mergeCell ref="E34:F34"/>
    <mergeCell ref="C35:D35"/>
    <mergeCell ref="E35:F35"/>
    <mergeCell ref="C36:D36"/>
    <mergeCell ref="E36:F36"/>
    <mergeCell ref="C37:D37"/>
    <mergeCell ref="E37:F37"/>
    <mergeCell ref="K67:L67"/>
    <mergeCell ref="E67:F67"/>
    <mergeCell ref="G67:H67"/>
    <mergeCell ref="I67:J67"/>
    <mergeCell ref="I41:J41"/>
    <mergeCell ref="E41:F41"/>
    <mergeCell ref="G41:H41"/>
    <mergeCell ref="G34:H34"/>
    <mergeCell ref="G35:H35"/>
    <mergeCell ref="G36:H36"/>
    <mergeCell ref="G37:H37"/>
    <mergeCell ref="C119:D119"/>
    <mergeCell ref="C117:D117"/>
    <mergeCell ref="C118:D118"/>
    <mergeCell ref="U97:V97"/>
    <mergeCell ref="Q41:R41"/>
    <mergeCell ref="Q67:R67"/>
    <mergeCell ref="Q97:R97"/>
    <mergeCell ref="S67:T67"/>
    <mergeCell ref="C104:D104"/>
    <mergeCell ref="C102:D102"/>
    <mergeCell ref="E102:F102"/>
    <mergeCell ref="G102:H102"/>
    <mergeCell ref="I102:J102"/>
    <mergeCell ref="O102:P102"/>
    <mergeCell ref="M67:N67"/>
    <mergeCell ref="M97:N97"/>
    <mergeCell ref="M41:N41"/>
    <mergeCell ref="S97:T97"/>
    <mergeCell ref="S102:T102"/>
    <mergeCell ref="Q102:R102"/>
    <mergeCell ref="U102:V102"/>
    <mergeCell ref="O7:P7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K102:L102"/>
    <mergeCell ref="M102:N102"/>
    <mergeCell ref="O97:P97"/>
    <mergeCell ref="O41:P41"/>
    <mergeCell ref="O67:P67"/>
    <mergeCell ref="I37:J37"/>
    <mergeCell ref="K37:L37"/>
    <mergeCell ref="C97:D97"/>
    <mergeCell ref="E97:F97"/>
    <mergeCell ref="G97:H97"/>
    <mergeCell ref="I97:J97"/>
    <mergeCell ref="O26:P26"/>
    <mergeCell ref="O34:P34"/>
    <mergeCell ref="O35:P35"/>
    <mergeCell ref="O36:P36"/>
    <mergeCell ref="O37:P37"/>
    <mergeCell ref="Q36:R36"/>
    <mergeCell ref="Q37:R37"/>
    <mergeCell ref="S36:T36"/>
    <mergeCell ref="S37:T37"/>
    <mergeCell ref="W7:X7"/>
    <mergeCell ref="W26:X26"/>
    <mergeCell ref="W34:X34"/>
    <mergeCell ref="W35:X35"/>
    <mergeCell ref="W36:X36"/>
    <mergeCell ref="W37:X37"/>
    <mergeCell ref="U41:V41"/>
    <mergeCell ref="U67:V67"/>
    <mergeCell ref="Q7:R7"/>
    <mergeCell ref="Q26:R26"/>
    <mergeCell ref="Q34:R34"/>
    <mergeCell ref="Q35:R35"/>
    <mergeCell ref="S7:T7"/>
    <mergeCell ref="S26:T26"/>
    <mergeCell ref="S34:T34"/>
    <mergeCell ref="S35:T35"/>
    <mergeCell ref="S41:T41"/>
    <mergeCell ref="U7:V7"/>
    <mergeCell ref="U26:V26"/>
    <mergeCell ref="U34:V34"/>
    <mergeCell ref="U35:V35"/>
    <mergeCell ref="U36:V36"/>
    <mergeCell ref="U37:V37"/>
    <mergeCell ref="W41:X41"/>
  </mergeCells>
  <phoneticPr fontId="12" type="noConversion"/>
  <printOptions horizontalCentered="1"/>
  <pageMargins left="0.42" right="0.78" top="0.47" bottom="0.5" header="0.5" footer="0.5"/>
  <pageSetup scale="65" fitToHeight="2" orientation="landscape" horizontalDpi="300" verticalDpi="300" r:id="rId1"/>
  <headerFooter alignWithMargins="0">
    <oddFooter xml:space="preserve">&amp;R&amp;P of &amp;N
&amp;D 
</oddFooter>
  </headerFooter>
  <rowBreaks count="1" manualBreakCount="1">
    <brk id="64" max="18" man="1"/>
  </rowBreaks>
  <ignoredErrors>
    <ignoredError sqref="O37 S77:S96 W7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0"/>
  <sheetViews>
    <sheetView tabSelected="1" view="pageBreakPreview" zoomScale="85" zoomScaleNormal="100" zoomScaleSheetLayoutView="85" workbookViewId="0">
      <pane xSplit="2" ySplit="1" topLeftCell="C25" activePane="bottomRight" state="frozen"/>
      <selection pane="topRight" activeCell="C1" sqref="C1"/>
      <selection pane="bottomLeft" activeCell="A2" sqref="A2"/>
      <selection pane="bottomRight" activeCell="X1" sqref="X1:Y1048576"/>
    </sheetView>
  </sheetViews>
  <sheetFormatPr defaultColWidth="10.28515625" defaultRowHeight="12.75" x14ac:dyDescent="0.2"/>
  <cols>
    <col min="1" max="1" width="2.85546875" style="1" customWidth="1"/>
    <col min="2" max="2" width="39" style="1" customWidth="1"/>
    <col min="3" max="3" width="10.28515625" style="204" hidden="1" customWidth="1"/>
    <col min="4" max="4" width="11.140625" style="204" hidden="1" customWidth="1"/>
    <col min="5" max="5" width="9.5703125" style="204" hidden="1" customWidth="1"/>
    <col min="6" max="6" width="14.7109375" style="204" hidden="1" customWidth="1"/>
    <col min="7" max="7" width="9.140625" style="1" hidden="1" customWidth="1"/>
    <col min="8" max="8" width="14" style="1" hidden="1" customWidth="1"/>
    <col min="9" max="9" width="10.28515625" style="1" hidden="1" customWidth="1"/>
    <col min="10" max="10" width="13.140625" style="1" hidden="1" customWidth="1"/>
    <col min="11" max="11" width="8" style="1" customWidth="1"/>
    <col min="12" max="12" width="11.28515625" style="1" customWidth="1"/>
    <col min="13" max="13" width="7.85546875" style="1" customWidth="1"/>
    <col min="14" max="14" width="11.28515625" style="1" customWidth="1"/>
    <col min="15" max="15" width="7.42578125" style="1" customWidth="1"/>
    <col min="16" max="16" width="11.28515625" style="1" customWidth="1"/>
    <col min="17" max="17" width="7.5703125" style="1" customWidth="1"/>
    <col min="18" max="18" width="11.28515625" style="1" customWidth="1"/>
    <col min="19" max="19" width="9.42578125" style="1" customWidth="1"/>
    <col min="20" max="20" width="11.28515625" style="1" customWidth="1"/>
    <col min="21" max="21" width="8.28515625" style="1" customWidth="1"/>
    <col min="22" max="22" width="11.28515625" style="1" customWidth="1"/>
    <col min="23" max="23" width="4.140625" style="1" customWidth="1"/>
    <col min="24" max="24" width="10.28515625" style="1" hidden="1" customWidth="1"/>
    <col min="25" max="25" width="11.42578125" style="1" hidden="1" customWidth="1"/>
    <col min="26" max="16384" width="10.28515625" style="1"/>
  </cols>
  <sheetData>
    <row r="1" spans="1:26" ht="18" x14ac:dyDescent="0.25">
      <c r="A1" s="875" t="s">
        <v>206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6"/>
      <c r="V1" s="696"/>
      <c r="W1" s="696"/>
      <c r="X1" s="696"/>
      <c r="Y1" s="696"/>
    </row>
    <row r="2" spans="1:26" ht="8.25" customHeight="1" x14ac:dyDescent="0.2">
      <c r="A2" s="22" t="s">
        <v>159</v>
      </c>
      <c r="B2" s="22"/>
      <c r="C2" s="136"/>
      <c r="D2" s="136"/>
      <c r="E2" s="136"/>
      <c r="F2" s="136"/>
    </row>
    <row r="3" spans="1:26" x14ac:dyDescent="0.2">
      <c r="A3" s="95" t="s">
        <v>54</v>
      </c>
      <c r="B3" s="407"/>
      <c r="C3" s="491"/>
      <c r="D3" s="136"/>
      <c r="E3" s="491"/>
      <c r="F3" s="136"/>
      <c r="G3" s="491"/>
    </row>
    <row r="4" spans="1:26" ht="4.5" customHeight="1" thickBot="1" x14ac:dyDescent="0.25">
      <c r="A4" s="82"/>
      <c r="B4" s="22"/>
      <c r="C4" s="136"/>
      <c r="D4" s="136"/>
      <c r="E4" s="136"/>
      <c r="F4" s="136"/>
    </row>
    <row r="5" spans="1:26" ht="13.5" customHeight="1" thickTop="1" x14ac:dyDescent="0.2">
      <c r="A5" s="22"/>
      <c r="B5" s="42"/>
      <c r="C5" s="252" t="s">
        <v>89</v>
      </c>
      <c r="D5" s="363"/>
      <c r="E5" s="362" t="s">
        <v>99</v>
      </c>
      <c r="F5" s="395"/>
      <c r="G5" s="1281" t="s">
        <v>101</v>
      </c>
      <c r="H5" s="1278"/>
      <c r="I5" s="1281" t="s">
        <v>106</v>
      </c>
      <c r="J5" s="1279"/>
      <c r="K5" s="1278" t="s">
        <v>155</v>
      </c>
      <c r="L5" s="1279"/>
      <c r="M5" s="1278" t="s">
        <v>160</v>
      </c>
      <c r="N5" s="1279"/>
      <c r="O5" s="1278" t="s">
        <v>179</v>
      </c>
      <c r="P5" s="1279"/>
      <c r="Q5" s="1278" t="s">
        <v>189</v>
      </c>
      <c r="R5" s="1279"/>
      <c r="S5" s="1278" t="s">
        <v>194</v>
      </c>
      <c r="T5" s="1279"/>
      <c r="U5" s="1278" t="s">
        <v>198</v>
      </c>
      <c r="V5" s="1279"/>
      <c r="X5" s="1276" t="s">
        <v>142</v>
      </c>
      <c r="Y5" s="1277"/>
    </row>
    <row r="6" spans="1:26" ht="13.5" customHeight="1" x14ac:dyDescent="0.2">
      <c r="A6" s="22"/>
      <c r="B6" s="43"/>
      <c r="C6" s="853"/>
      <c r="D6" s="854"/>
      <c r="E6" s="855"/>
      <c r="F6" s="856"/>
      <c r="G6" s="846"/>
      <c r="H6" s="492"/>
      <c r="I6" s="846"/>
      <c r="J6" s="847"/>
      <c r="K6" s="492"/>
      <c r="L6" s="847"/>
      <c r="M6" s="492"/>
      <c r="N6" s="847"/>
      <c r="O6" s="492"/>
      <c r="P6" s="847"/>
      <c r="Q6" s="492"/>
      <c r="R6" s="847"/>
      <c r="S6" s="492"/>
      <c r="T6" s="847"/>
      <c r="U6" s="1208"/>
      <c r="V6" s="1209"/>
      <c r="W6" s="430"/>
      <c r="X6" s="857"/>
      <c r="Y6" s="858"/>
    </row>
    <row r="7" spans="1:26" ht="12" x14ac:dyDescent="0.2">
      <c r="A7" s="22"/>
      <c r="B7" s="43"/>
      <c r="C7" s="253" t="s">
        <v>0</v>
      </c>
      <c r="D7" s="337" t="s">
        <v>1</v>
      </c>
      <c r="E7" s="205" t="s">
        <v>0</v>
      </c>
      <c r="F7" s="387" t="s">
        <v>1</v>
      </c>
      <c r="G7" s="253" t="s">
        <v>0</v>
      </c>
      <c r="H7" s="387" t="s">
        <v>1</v>
      </c>
      <c r="I7" s="253" t="s">
        <v>0</v>
      </c>
      <c r="J7" s="337" t="s">
        <v>1</v>
      </c>
      <c r="K7" s="205" t="s">
        <v>0</v>
      </c>
      <c r="L7" s="337" t="s">
        <v>1</v>
      </c>
      <c r="M7" s="205" t="s">
        <v>0</v>
      </c>
      <c r="N7" s="337" t="s">
        <v>1</v>
      </c>
      <c r="O7" s="205" t="s">
        <v>0</v>
      </c>
      <c r="P7" s="337" t="s">
        <v>1</v>
      </c>
      <c r="Q7" s="205" t="s">
        <v>0</v>
      </c>
      <c r="R7" s="337" t="s">
        <v>1</v>
      </c>
      <c r="S7" s="205" t="s">
        <v>0</v>
      </c>
      <c r="T7" s="337" t="s">
        <v>1</v>
      </c>
      <c r="U7" s="205" t="s">
        <v>0</v>
      </c>
      <c r="V7" s="337" t="s">
        <v>1</v>
      </c>
      <c r="W7" s="430"/>
      <c r="X7" s="205" t="s">
        <v>0</v>
      </c>
      <c r="Y7" s="206" t="s">
        <v>1</v>
      </c>
    </row>
    <row r="8" spans="1:26" thickBot="1" x14ac:dyDescent="0.25">
      <c r="A8" s="22"/>
      <c r="B8" s="44"/>
      <c r="C8" s="254" t="s">
        <v>2</v>
      </c>
      <c r="D8" s="354" t="s">
        <v>3</v>
      </c>
      <c r="E8" s="336" t="s">
        <v>2</v>
      </c>
      <c r="F8" s="373" t="s">
        <v>3</v>
      </c>
      <c r="G8" s="254" t="s">
        <v>2</v>
      </c>
      <c r="H8" s="373" t="s">
        <v>3</v>
      </c>
      <c r="I8" s="254" t="s">
        <v>2</v>
      </c>
      <c r="J8" s="354" t="s">
        <v>3</v>
      </c>
      <c r="K8" s="336" t="s">
        <v>2</v>
      </c>
      <c r="L8" s="354" t="s">
        <v>3</v>
      </c>
      <c r="M8" s="336" t="s">
        <v>2</v>
      </c>
      <c r="N8" s="354" t="s">
        <v>3</v>
      </c>
      <c r="O8" s="336" t="s">
        <v>2</v>
      </c>
      <c r="P8" s="354" t="s">
        <v>3</v>
      </c>
      <c r="Q8" s="336" t="s">
        <v>2</v>
      </c>
      <c r="R8" s="354" t="s">
        <v>3</v>
      </c>
      <c r="S8" s="336" t="s">
        <v>2</v>
      </c>
      <c r="T8" s="354" t="s">
        <v>3</v>
      </c>
      <c r="U8" s="336" t="s">
        <v>2</v>
      </c>
      <c r="V8" s="354" t="s">
        <v>3</v>
      </c>
      <c r="W8" s="430"/>
      <c r="X8" s="226" t="s">
        <v>2</v>
      </c>
      <c r="Y8" s="227" t="s">
        <v>3</v>
      </c>
    </row>
    <row r="9" spans="1:26" ht="12" x14ac:dyDescent="0.2">
      <c r="A9" s="22"/>
      <c r="B9" s="117" t="s">
        <v>65</v>
      </c>
      <c r="C9" s="255"/>
      <c r="D9" s="122"/>
      <c r="E9" s="121"/>
      <c r="F9" s="250"/>
      <c r="G9" s="255"/>
      <c r="H9" s="250"/>
      <c r="I9" s="255"/>
      <c r="J9" s="122"/>
      <c r="K9" s="121"/>
      <c r="L9" s="122"/>
      <c r="M9" s="121"/>
      <c r="N9" s="122"/>
      <c r="O9" s="121"/>
      <c r="P9" s="1154"/>
      <c r="Q9" s="121"/>
      <c r="R9" s="1154"/>
      <c r="S9" s="121"/>
      <c r="T9" s="1154"/>
      <c r="U9" s="121"/>
      <c r="V9" s="1154"/>
      <c r="W9" s="430"/>
      <c r="X9" s="77"/>
      <c r="Y9" s="607"/>
    </row>
    <row r="10" spans="1:26" ht="12" x14ac:dyDescent="0.2">
      <c r="A10" s="22"/>
      <c r="B10" s="123"/>
      <c r="C10" s="107"/>
      <c r="D10" s="125"/>
      <c r="E10" s="108"/>
      <c r="F10" s="251"/>
      <c r="G10" s="107"/>
      <c r="H10" s="251"/>
      <c r="I10" s="107"/>
      <c r="J10" s="125"/>
      <c r="K10" s="108"/>
      <c r="L10" s="125"/>
      <c r="M10" s="108"/>
      <c r="N10" s="125"/>
      <c r="O10" s="108"/>
      <c r="P10" s="125"/>
      <c r="Q10" s="108"/>
      <c r="R10" s="125"/>
      <c r="S10" s="108"/>
      <c r="T10" s="125"/>
      <c r="U10" s="108"/>
      <c r="V10" s="125"/>
      <c r="W10" s="430"/>
      <c r="X10" s="12"/>
      <c r="Y10" s="609"/>
    </row>
    <row r="11" spans="1:26" ht="12" x14ac:dyDescent="0.2">
      <c r="A11" s="22"/>
      <c r="B11" s="128" t="s">
        <v>147</v>
      </c>
      <c r="C11" s="191">
        <f>Dean_Ed!G12+Dean_Ed!G14+Dean_Ed!G16+'El_Ed "old"'!G12+'Sec_Ed "old"'!G12+'Sec_Ed "old"'!G16</f>
        <v>1640</v>
      </c>
      <c r="D11" s="319">
        <f>'El_Ed "old"'!H12+'Sec_Ed "old"'!H12+'Sec_Ed "old"'!H16</f>
        <v>326</v>
      </c>
      <c r="E11" s="191">
        <f>Dean_Ed!I12+Dean_Ed!I14+Dean_Ed!I16+'El_Ed "old"'!I12+'Sec_Ed "old"'!I12+'Sec_Ed "old"'!I16</f>
        <v>1644</v>
      </c>
      <c r="F11" s="319">
        <f>'El_Ed "old"'!J12+'Sec_Ed "old"'!J12+'Sec_Ed "old"'!J16</f>
        <v>292</v>
      </c>
      <c r="G11" s="191">
        <f>Dean_Ed!K12+Dean_Ed!K14+Dean_Ed!K16+'El_Ed "old"'!K12+'Sec_Ed "old"'!K12+'Sec_Ed "old"'!K16</f>
        <v>1608</v>
      </c>
      <c r="H11" s="319">
        <f>'El_Ed "old"'!L12+'Sec_Ed "old"'!L12+'Sec_Ed "old"'!L16</f>
        <v>315</v>
      </c>
      <c r="I11" s="191">
        <f>Dean_Ed!M12+Dean_Ed!M14+Dean_Ed!M16+'El_Ed "old"'!M12+'Sec_Ed "old"'!M12+'Sec_Ed "old"'!M16</f>
        <v>1534</v>
      </c>
      <c r="J11" s="196">
        <f>'El_Ed "old"'!N12+'Sec_Ed "old"'!N12+'Sec_Ed "old"'!N16</f>
        <v>302</v>
      </c>
      <c r="K11" s="191">
        <f>Dean_Ed!O12+Dean_Ed!O14+Dean_Ed!O16+'El_Ed "old"'!O12+'Sec_Ed "old"'!O12+'Sec_Ed "old"'!O16</f>
        <v>1569</v>
      </c>
      <c r="L11" s="196">
        <f>'Curriculum &amp; Instruction'!L15+'Curriculum &amp; Instruction'!L18+'Curriculum &amp; Instruction'!L26</f>
        <v>322</v>
      </c>
      <c r="M11" s="181">
        <f>Dean_Ed!Q12+Dean_Ed!Q14+Dean_Ed!Q16+'Curriculum &amp; Instruction'!M15+'Curriculum &amp; Instruction'!M18+'Curriculum &amp; Instruction'!M26</f>
        <v>1480</v>
      </c>
      <c r="N11" s="196">
        <f>'Curriculum &amp; Instruction'!N15+'Curriculum &amp; Instruction'!N18+'Curriculum &amp; Instruction'!N26</f>
        <v>272</v>
      </c>
      <c r="O11" s="181">
        <f>Dean_Ed!S12+Dean_Ed!S14+Dean_Ed!S16+'Curriculum &amp; Instruction'!O15+'Curriculum &amp; Instruction'!O18+'Curriculum &amp; Instruction'!O26</f>
        <v>1345</v>
      </c>
      <c r="P11" s="196">
        <f>'Curriculum &amp; Instruction'!P15+'Curriculum &amp; Instruction'!P18+'Curriculum &amp; Instruction'!P26</f>
        <v>276</v>
      </c>
      <c r="Q11" s="181">
        <f>Dean_Ed!U12+Dean_Ed!U14+Dean_Ed!U16+'Curriculum &amp; Instruction'!Q15+'Curriculum &amp; Instruction'!Q18+'Curriculum &amp; Instruction'!Q26</f>
        <v>1300</v>
      </c>
      <c r="R11" s="196">
        <f>'Curriculum &amp; Instruction'!R15+'Curriculum &amp; Instruction'!R18+'Curriculum &amp; Instruction'!R26</f>
        <v>289</v>
      </c>
      <c r="S11" s="181">
        <f>Dean_Ed!W12+Dean_Ed!W14+Dean_Ed!W16+'Curriculum &amp; Instruction'!S15+'Curriculum &amp; Instruction'!S18+'Curriculum &amp; Instruction'!S26</f>
        <v>1261</v>
      </c>
      <c r="T11" s="196">
        <f>'Curriculum &amp; Instruction'!T15+'Curriculum &amp; Instruction'!T18+'Curriculum &amp; Instruction'!T26</f>
        <v>260</v>
      </c>
      <c r="U11" s="181">
        <f>Dean_Ed!Y12+Dean_Ed!Y14+Dean_Ed!Y16+'Curriculum &amp; Instruction'!U15+'Curriculum &amp; Instruction'!U18+'Curriculum &amp; Instruction'!U26</f>
        <v>1306</v>
      </c>
      <c r="V11" s="1179"/>
      <c r="W11" s="430"/>
      <c r="X11" s="860">
        <f>AVERAGE(U11,S11,Q11,O11,M11)</f>
        <v>1338.4</v>
      </c>
      <c r="Y11" s="608">
        <f t="shared" ref="Y11:Y15" si="0">AVERAGE(V11,T11,R11,P11,N11)</f>
        <v>274.25</v>
      </c>
    </row>
    <row r="12" spans="1:26" ht="12" hidden="1" x14ac:dyDescent="0.2">
      <c r="A12" s="22"/>
      <c r="B12" s="128" t="s">
        <v>149</v>
      </c>
      <c r="C12" s="195">
        <f>Ed_Leader!E20</f>
        <v>1018</v>
      </c>
      <c r="D12" s="196">
        <f>Ed_Leader!F20</f>
        <v>79</v>
      </c>
      <c r="E12" s="195">
        <f>Ed_Leader!G20</f>
        <v>1119</v>
      </c>
      <c r="F12" s="196">
        <f>Ed_Leader!H20</f>
        <v>110</v>
      </c>
      <c r="G12" s="195">
        <f>Ed_Leader!I20</f>
        <v>1128</v>
      </c>
      <c r="H12" s="196">
        <f>Ed_Leader!J20</f>
        <v>131</v>
      </c>
      <c r="I12" s="1123"/>
      <c r="J12" s="1124"/>
      <c r="K12" s="1125" t="s">
        <v>174</v>
      </c>
      <c r="L12" s="297"/>
      <c r="M12" s="297"/>
      <c r="N12" s="297"/>
      <c r="O12" s="297"/>
      <c r="P12" s="313"/>
      <c r="Q12" s="313"/>
      <c r="R12" s="313"/>
      <c r="S12" s="313"/>
      <c r="T12" s="313"/>
      <c r="U12" s="313"/>
      <c r="V12" s="1180"/>
      <c r="W12" s="430"/>
      <c r="X12" s="1126"/>
      <c r="Y12" s="1064" t="e">
        <f t="shared" si="0"/>
        <v>#DIV/0!</v>
      </c>
    </row>
    <row r="13" spans="1:26" ht="12" x14ac:dyDescent="0.2">
      <c r="A13" s="22"/>
      <c r="B13" s="129" t="s">
        <v>148</v>
      </c>
      <c r="C13" s="191">
        <f>Dean_Ed!G17+Dean_Ed!G18+'Curriculum &amp; Instruction'!C12+'El_Ed "old"'!G13+'Sec_Ed "old"'!G13+'Spec_Ed, Couns &amp; Stu Affair'!G12+'Spec_Ed, Couns &amp; Stu Affair'!G20+Ed_Leader!E12+Ed_Leader!E15</f>
        <v>403</v>
      </c>
      <c r="D13" s="320">
        <f>'Curriculum &amp; Instruction'!D12+Ed_Leader!F12+Ed_Leader!F15+'El_Ed "old"'!H13+'Sec_Ed "old"'!H13+'Spec_Ed, Couns &amp; Stu Affair'!H12+'Spec_Ed, Couns &amp; Stu Affair'!H17+'Spec_Ed, Couns &amp; Stu Affair'!H20</f>
        <v>180</v>
      </c>
      <c r="E13" s="191">
        <f>Dean_Ed!I17+Dean_Ed!I18+'Curriculum &amp; Instruction'!E12+'El_Ed "old"'!I13+'Sec_Ed "old"'!I13+'Spec_Ed, Couns &amp; Stu Affair'!I12+'Spec_Ed, Couns &amp; Stu Affair'!I20+Ed_Leader!G12+Ed_Leader!G15+'Spec_Ed, Couns &amp; Stu Affair'!I17</f>
        <v>369</v>
      </c>
      <c r="F13" s="320">
        <f>'Curriculum &amp; Instruction'!F12+Ed_Leader!H12+Ed_Leader!H15+'El_Ed "old"'!J13+'Sec_Ed "old"'!J13+'Spec_Ed, Couns &amp; Stu Affair'!J12+'Spec_Ed, Couns &amp; Stu Affair'!J17+'Spec_Ed, Couns &amp; Stu Affair'!J20</f>
        <v>190</v>
      </c>
      <c r="G13" s="191">
        <f>Dean_Ed!K17+Dean_Ed!K18+'Curriculum &amp; Instruction'!G12+'El_Ed "old"'!K13+'Sec_Ed "old"'!K13+'Spec_Ed, Couns &amp; Stu Affair'!K12+'Spec_Ed, Couns &amp; Stu Affair'!K20+Ed_Leader!I12+Ed_Leader!I15+'Spec_Ed, Couns &amp; Stu Affair'!K17</f>
        <v>421</v>
      </c>
      <c r="H13" s="320">
        <f>'Curriculum &amp; Instruction'!H12+Ed_Leader!J12+Ed_Leader!J15+'El_Ed "old"'!L13+'Sec_Ed "old"'!L13+'Spec_Ed, Couns &amp; Stu Affair'!L12+'Spec_Ed, Couns &amp; Stu Affair'!L17+'Spec_Ed, Couns &amp; Stu Affair'!L20</f>
        <v>173</v>
      </c>
      <c r="I13" s="191">
        <f>Dean_Ed!M17+Dean_Ed!M18+'Curriculum &amp; Instruction'!I12+'El_Ed "old"'!M13+'Sec_Ed "old"'!M13+'Spec_Ed, Couns &amp; Stu Affair'!M12+'Spec_Ed, Couns &amp; Stu Affair'!M20+Ed_Leader!K12+Ed_Leader!K15+'Spec_Ed, Couns &amp; Stu Affair'!M17</f>
        <v>599</v>
      </c>
      <c r="J13" s="811">
        <f>'Curriculum &amp; Instruction'!J12+Ed_Leader!L12+Ed_Leader!L15+'El_Ed "old"'!N13+'Sec_Ed "old"'!N13+'Spec_Ed, Couns &amp; Stu Affair'!N12+'Spec_Ed, Couns &amp; Stu Affair'!N17+'Spec_Ed, Couns &amp; Stu Affair'!N20</f>
        <v>176</v>
      </c>
      <c r="K13" s="191">
        <f>Dean_Ed!O17+Dean_Ed!O18+'Curriculum &amp; Instruction'!K12+'El_Ed "old"'!O13+'Sec_Ed "old"'!O13+'Spec_Ed, Couns &amp; Stu Affair'!O12+'Spec_Ed, Couns &amp; Stu Affair'!O20+Ed_Leader!M12+Ed_Leader!M15+'Spec_Ed, Couns &amp; Stu Affair'!O17</f>
        <v>1249</v>
      </c>
      <c r="L13" s="811">
        <f>'Curriculum &amp; Instruction'!L12+Ed_Leader!N12+Ed_Leader!N15+'Spec_Ed, Couns &amp; Stu Affair'!P12+'Spec_Ed, Couns &amp; Stu Affair'!P17+'Spec_Ed, Couns &amp; Stu Affair'!P20</f>
        <v>202</v>
      </c>
      <c r="M13" s="181">
        <f>Dean_Ed!Q18+'Curriculum &amp; Instruction'!M12+Ed_Leader!O12+Ed_Leader!O15+'Spec_Ed, Couns &amp; Stu Affair'!Q12+'Spec_Ed, Couns &amp; Stu Affair'!Q17+'Spec_Ed, Couns &amp; Stu Affair'!Q20</f>
        <v>845</v>
      </c>
      <c r="N13" s="811">
        <f>'Curriculum &amp; Instruction'!N12+Ed_Leader!P12+Ed_Leader!P15+'Spec_Ed, Couns &amp; Stu Affair'!R12+'Spec_Ed, Couns &amp; Stu Affair'!R17+'Spec_Ed, Couns &amp; Stu Affair'!R20</f>
        <v>233</v>
      </c>
      <c r="O13" s="181">
        <f>Dean_Ed!S18+'Curriculum &amp; Instruction'!O12+Ed_Leader!Q12+Ed_Leader!Q15+'Spec_Ed, Couns &amp; Stu Affair'!S12+'Spec_Ed, Couns &amp; Stu Affair'!S17+'Spec_Ed, Couns &amp; Stu Affair'!S20</f>
        <v>912</v>
      </c>
      <c r="P13" s="811">
        <f>'Curriculum &amp; Instruction'!P12+Ed_Leader!R12+Ed_Leader!R15+'Spec_Ed, Couns &amp; Stu Affair'!T12+'Spec_Ed, Couns &amp; Stu Affair'!T17+'Spec_Ed, Couns &amp; Stu Affair'!T20</f>
        <v>230</v>
      </c>
      <c r="Q13" s="181">
        <f>Dean_Ed!U18+'Curriculum &amp; Instruction'!Q12+Ed_Leader!S12+Ed_Leader!S15+'Spec_Ed, Couns &amp; Stu Affair'!U12+'Spec_Ed, Couns &amp; Stu Affair'!U17+'Spec_Ed, Couns &amp; Stu Affair'!U20</f>
        <v>796</v>
      </c>
      <c r="R13" s="811">
        <f>'Curriculum &amp; Instruction'!R12+Ed_Leader!T12+Ed_Leader!T15+'Spec_Ed, Couns &amp; Stu Affair'!V12+'Spec_Ed, Couns &amp; Stu Affair'!V17+'Spec_Ed, Couns &amp; Stu Affair'!V20</f>
        <v>251</v>
      </c>
      <c r="S13" s="181">
        <f>Dean_Ed!W18+'Curriculum &amp; Instruction'!S12+Ed_Leader!U12+Ed_Leader!U15+'Spec_Ed, Couns &amp; Stu Affair'!W12+'Spec_Ed, Couns &amp; Stu Affair'!W17+'Spec_Ed, Couns &amp; Stu Affair'!W20</f>
        <v>765</v>
      </c>
      <c r="T13" s="811">
        <f>'Curriculum &amp; Instruction'!T12+Ed_Leader!V12+Ed_Leader!V15+'Spec_Ed, Couns &amp; Stu Affair'!X12+'Spec_Ed, Couns &amp; Stu Affair'!X17+'Spec_Ed, Couns &amp; Stu Affair'!X20</f>
        <v>273</v>
      </c>
      <c r="U13" s="181">
        <f>Dean_Ed!Y18+'Curriculum &amp; Instruction'!U12+Ed_Leader!W12+Ed_Leader!W15+'Spec_Ed, Couns &amp; Stu Affair'!Y12+'Spec_Ed, Couns &amp; Stu Affair'!Y17+'Spec_Ed, Couns &amp; Stu Affair'!Y20</f>
        <v>764</v>
      </c>
      <c r="V13" s="1181"/>
      <c r="W13" s="430"/>
      <c r="X13" s="860">
        <f t="shared" ref="X13:X15" si="1">AVERAGE(U13,S13,Q13,O13,M13)</f>
        <v>816.4</v>
      </c>
      <c r="Y13" s="608">
        <f t="shared" si="0"/>
        <v>246.75</v>
      </c>
    </row>
    <row r="14" spans="1:26" ht="12" x14ac:dyDescent="0.2">
      <c r="A14" s="22"/>
      <c r="B14" s="128" t="s">
        <v>64</v>
      </c>
      <c r="C14" s="325">
        <f>'Curriculum &amp; Instruction'!C13+Ed_Leader!E13+Ed_Leader!E18+'Spec_Ed, Couns &amp; Stu Affair'!G13+'Spec_Ed, Couns &amp; Stu Affair'!G21+'Spec_Ed, Couns &amp; Stu Affair'!G23</f>
        <v>239</v>
      </c>
      <c r="D14" s="321">
        <f>'Curriculum &amp; Instruction'!D13+Ed_Leader!F13+Ed_Leader!F18+'Spec_Ed, Couns &amp; Stu Affair'!H13+'Spec_Ed, Couns &amp; Stu Affair'!H21+'Spec_Ed, Couns &amp; Stu Affair'!H23</f>
        <v>39</v>
      </c>
      <c r="E14" s="325">
        <f>'Curriculum &amp; Instruction'!E13+Ed_Leader!G13+Ed_Leader!G18+'Spec_Ed, Couns &amp; Stu Affair'!I13+'Spec_Ed, Couns &amp; Stu Affair'!I21+'Spec_Ed, Couns &amp; Stu Affair'!I23</f>
        <v>231</v>
      </c>
      <c r="F14" s="321">
        <f>'Curriculum &amp; Instruction'!F13+Ed_Leader!H13+Ed_Leader!H18+'Spec_Ed, Couns &amp; Stu Affair'!J13+'Spec_Ed, Couns &amp; Stu Affair'!J21+'Spec_Ed, Couns &amp; Stu Affair'!J23</f>
        <v>37</v>
      </c>
      <c r="G14" s="325">
        <f>'Curriculum &amp; Instruction'!G13+Ed_Leader!I13+Ed_Leader!I18+'Spec_Ed, Couns &amp; Stu Affair'!K13+'Spec_Ed, Couns &amp; Stu Affair'!K21+'Spec_Ed, Couns &amp; Stu Affair'!K23</f>
        <v>214</v>
      </c>
      <c r="H14" s="321">
        <f>'Curriculum &amp; Instruction'!H13+Ed_Leader!J13+Ed_Leader!J18+'Spec_Ed, Couns &amp; Stu Affair'!L13+'Spec_Ed, Couns &amp; Stu Affair'!L21+'Spec_Ed, Couns &amp; Stu Affair'!L23</f>
        <v>32</v>
      </c>
      <c r="I14" s="325">
        <f>'Curriculum &amp; Instruction'!I13+Ed_Leader!K13+Ed_Leader!K18+'Spec_Ed, Couns &amp; Stu Affair'!M13+'Spec_Ed, Couns &amp; Stu Affair'!M21+'Spec_Ed, Couns &amp; Stu Affair'!M23</f>
        <v>213</v>
      </c>
      <c r="J14" s="812">
        <f>'Curriculum &amp; Instruction'!J13+Ed_Leader!L13+Ed_Leader!L18+'Spec_Ed, Couns &amp; Stu Affair'!N13+'Spec_Ed, Couns &amp; Stu Affair'!N21+'Spec_Ed, Couns &amp; Stu Affair'!N23</f>
        <v>29</v>
      </c>
      <c r="K14" s="325">
        <f>'Curriculum &amp; Instruction'!K13+Ed_Leader!M13+Ed_Leader!M18+'Spec_Ed, Couns &amp; Stu Affair'!O13+'Spec_Ed, Couns &amp; Stu Affair'!O21+'Spec_Ed, Couns &amp; Stu Affair'!O23</f>
        <v>200</v>
      </c>
      <c r="L14" s="1015">
        <f>'Curriculum &amp; Instruction'!L13+Ed_Leader!N13+Ed_Leader!N18+'Spec_Ed, Couns &amp; Stu Affair'!P13+'Spec_Ed, Couns &amp; Stu Affair'!P21</f>
        <v>29</v>
      </c>
      <c r="M14" s="876">
        <f>'Curriculum &amp; Instruction'!M13+Ed_Leader!O13+Ed_Leader!O18+'Spec_Ed, Couns &amp; Stu Affair'!Q13+'Spec_Ed, Couns &amp; Stu Affair'!Q21</f>
        <v>193</v>
      </c>
      <c r="N14" s="1015">
        <f>'Curriculum &amp; Instruction'!N13+Ed_Leader!P13+Ed_Leader!P18+'Spec_Ed, Couns &amp; Stu Affair'!R13+'Spec_Ed, Couns &amp; Stu Affair'!R21</f>
        <v>24</v>
      </c>
      <c r="O14" s="876">
        <f>'Curriculum &amp; Instruction'!O13+Ed_Leader!Q13+Ed_Leader!Q18+'Spec_Ed, Couns &amp; Stu Affair'!S13+'Spec_Ed, Couns &amp; Stu Affair'!S21</f>
        <v>194</v>
      </c>
      <c r="P14" s="1015">
        <f>'Curriculum &amp; Instruction'!P13+Ed_Leader!R13+Ed_Leader!R18+'Spec_Ed, Couns &amp; Stu Affair'!T13+'Spec_Ed, Couns &amp; Stu Affair'!T21</f>
        <v>19</v>
      </c>
      <c r="Q14" s="876">
        <f>'Curriculum &amp; Instruction'!Q13+Ed_Leader!S13+Ed_Leader!S18+'Spec_Ed, Couns &amp; Stu Affair'!U13+'Spec_Ed, Couns &amp; Stu Affair'!U21</f>
        <v>214</v>
      </c>
      <c r="R14" s="1015">
        <f>'Curriculum &amp; Instruction'!R13+Ed_Leader!T13+Ed_Leader!T18+'Spec_Ed, Couns &amp; Stu Affair'!V13+'Spec_Ed, Couns &amp; Stu Affair'!V21</f>
        <v>27</v>
      </c>
      <c r="S14" s="876">
        <f>'Curriculum &amp; Instruction'!S13+Ed_Leader!U13+Ed_Leader!U18+'Spec_Ed, Couns &amp; Stu Affair'!W13+'Spec_Ed, Couns &amp; Stu Affair'!W21</f>
        <v>209</v>
      </c>
      <c r="T14" s="1015">
        <f>'Curriculum &amp; Instruction'!T13+Ed_Leader!V13+Ed_Leader!V18+'Spec_Ed, Couns &amp; Stu Affair'!X13+'Spec_Ed, Couns &amp; Stu Affair'!X21</f>
        <v>16</v>
      </c>
      <c r="U14" s="876">
        <f>'Curriculum &amp; Instruction'!U13+Ed_Leader!W13+Ed_Leader!W18+'Spec_Ed, Couns &amp; Stu Affair'!Y13+'Spec_Ed, Couns &amp; Stu Affair'!Y21</f>
        <v>196</v>
      </c>
      <c r="V14" s="1182"/>
      <c r="W14" s="430"/>
      <c r="X14" s="860">
        <f t="shared" si="1"/>
        <v>201.2</v>
      </c>
      <c r="Y14" s="608">
        <f t="shared" si="0"/>
        <v>21.5</v>
      </c>
    </row>
    <row r="15" spans="1:26" s="105" customFormat="1" ht="12" customHeight="1" thickBot="1" x14ac:dyDescent="0.25">
      <c r="A15" s="109"/>
      <c r="B15" s="132" t="s">
        <v>100</v>
      </c>
      <c r="C15" s="197">
        <f>'Spec_Ed, Couns &amp; Stu Affair'!G15+'Spec_Ed, Couns &amp; Stu Affair'!G18</f>
        <v>37</v>
      </c>
      <c r="D15" s="198">
        <f>'Spec_Ed, Couns &amp; Stu Affair'!H15+'Spec_Ed, Couns &amp; Stu Affair'!H18</f>
        <v>1</v>
      </c>
      <c r="E15" s="405">
        <f>'Spec_Ed, Couns &amp; Stu Affair'!I15+'Spec_Ed, Couns &amp; Stu Affair'!I18+Dean_Ed!I20+'Sec_Ed "old"'!I14</f>
        <v>113</v>
      </c>
      <c r="F15" s="406">
        <f>'Spec_Ed, Couns &amp; Stu Affair'!J15+'Spec_Ed, Couns &amp; Stu Affair'!J18</f>
        <v>4</v>
      </c>
      <c r="G15" s="405">
        <f>'Spec_Ed, Couns &amp; Stu Affair'!K15+'Spec_Ed, Couns &amp; Stu Affair'!K18+Dean_Ed!K20+'Sec_Ed "old"'!K14</f>
        <v>54</v>
      </c>
      <c r="H15" s="322">
        <f>'Spec_Ed, Couns &amp; Stu Affair'!L15+'Spec_Ed, Couns &amp; Stu Affair'!L18</f>
        <v>0</v>
      </c>
      <c r="I15" s="405">
        <f>'Curriculum &amp; Instruction'!I22+'Spec_Ed, Couns &amp; Stu Affair'!M15+'Spec_Ed, Couns &amp; Stu Affair'!M18+'Curriculum &amp; Instruction'!I21</f>
        <v>32</v>
      </c>
      <c r="J15" s="406">
        <f>'Curriculum &amp; Instruction'!J22+'Spec_Ed, Couns &amp; Stu Affair'!N15+'Spec_Ed, Couns &amp; Stu Affair'!N18+'Curriculum &amp; Instruction'!J21</f>
        <v>31</v>
      </c>
      <c r="K15" s="405">
        <f>'Curriculum &amp; Instruction'!K22+'Spec_Ed, Couns &amp; Stu Affair'!O15+'Spec_Ed, Couns &amp; Stu Affair'!O18+'Curriculum &amp; Instruction'!K21</f>
        <v>71</v>
      </c>
      <c r="L15" s="406">
        <f>'Curriculum &amp; Instruction'!L22+'Spec_Ed, Couns &amp; Stu Affair'!P15+'Spec_Ed, Couns &amp; Stu Affair'!P18+'Curriculum &amp; Instruction'!L21</f>
        <v>71</v>
      </c>
      <c r="M15" s="877">
        <f>'Curriculum &amp; Instruction'!M22+'Spec_Ed, Couns &amp; Stu Affair'!Q15+'Spec_Ed, Couns &amp; Stu Affair'!Q18+'Curriculum &amp; Instruction'!M21</f>
        <v>81</v>
      </c>
      <c r="N15" s="406">
        <f>'Curriculum &amp; Instruction'!N22+'Spec_Ed, Couns &amp; Stu Affair'!R15+'Spec_Ed, Couns &amp; Stu Affair'!R18+'Curriculum &amp; Instruction'!N21</f>
        <v>53</v>
      </c>
      <c r="O15" s="877">
        <f>'Curriculum &amp; Instruction'!O22+'Spec_Ed, Couns &amp; Stu Affair'!S15+'Spec_Ed, Couns &amp; Stu Affair'!S18+'Curriculum &amp; Instruction'!O21</f>
        <v>97</v>
      </c>
      <c r="P15" s="406">
        <f>'Curriculum &amp; Instruction'!P22+'Spec_Ed, Couns &amp; Stu Affair'!T15+'Spec_Ed, Couns &amp; Stu Affair'!T18+'Curriculum &amp; Instruction'!P21</f>
        <v>45</v>
      </c>
      <c r="Q15" s="877">
        <f>'Curriculum &amp; Instruction'!Q22+'Spec_Ed, Couns &amp; Stu Affair'!U15+'Spec_Ed, Couns &amp; Stu Affair'!U18+'Curriculum &amp; Instruction'!Q21+Ed_Leader!S16+'Curriculum &amp; Instruction'!Q20+'Curriculum &amp; Instruction'!Q24</f>
        <v>81</v>
      </c>
      <c r="R15" s="406">
        <f>'Curriculum &amp; Instruction'!R22+'Spec_Ed, Couns &amp; Stu Affair'!V15+'Spec_Ed, Couns &amp; Stu Affair'!V18+'Curriculum &amp; Instruction'!R21</f>
        <v>77</v>
      </c>
      <c r="S15" s="877">
        <f>'Curriculum &amp; Instruction'!S22+'Spec_Ed, Couns &amp; Stu Affair'!W15+'Spec_Ed, Couns &amp; Stu Affair'!W18+'Curriculum &amp; Instruction'!S21+Ed_Leader!U16+'Curriculum &amp; Instruction'!S20+'Curriculum &amp; Instruction'!S24+Ed_Leader!U17</f>
        <v>87</v>
      </c>
      <c r="T15" s="406">
        <f>'Curriculum &amp; Instruction'!T22+'Spec_Ed, Couns &amp; Stu Affair'!X15+'Spec_Ed, Couns &amp; Stu Affair'!X18+'Curriculum &amp; Instruction'!T21</f>
        <v>71</v>
      </c>
      <c r="U15" s="877">
        <f>'Curriculum &amp; Instruction'!U22+'Spec_Ed, Couns &amp; Stu Affair'!Y15+'Spec_Ed, Couns &amp; Stu Affair'!Y18+'Curriculum &amp; Instruction'!U21+Ed_Leader!W16+'Curriculum &amp; Instruction'!U20+'Curriculum &amp; Instruction'!U24+Ed_Leader!W17</f>
        <v>94</v>
      </c>
      <c r="V15" s="1183"/>
      <c r="W15" s="109"/>
      <c r="X15" s="1016">
        <f t="shared" si="1"/>
        <v>88</v>
      </c>
      <c r="Y15" s="674">
        <f t="shared" si="0"/>
        <v>61.5</v>
      </c>
      <c r="Z15" s="105" t="s">
        <v>20</v>
      </c>
    </row>
    <row r="16" spans="1:26" thickTop="1" x14ac:dyDescent="0.2">
      <c r="B16" s="1214" t="s">
        <v>108</v>
      </c>
      <c r="C16" s="138"/>
      <c r="D16" s="137"/>
      <c r="E16" s="138"/>
      <c r="F16" s="137"/>
      <c r="G16" s="138"/>
      <c r="H16" s="137"/>
      <c r="I16" s="138"/>
      <c r="J16" s="137"/>
      <c r="K16" s="826"/>
      <c r="L16" s="137" t="s">
        <v>20</v>
      </c>
      <c r="M16" s="826"/>
      <c r="N16" s="137"/>
      <c r="O16" s="826"/>
      <c r="P16" s="137"/>
      <c r="Q16" s="826"/>
      <c r="R16" s="137"/>
      <c r="S16" s="826"/>
      <c r="T16" s="137"/>
      <c r="U16" s="826"/>
      <c r="V16" s="137"/>
      <c r="X16" s="627"/>
    </row>
    <row r="17" spans="1:28" ht="12" x14ac:dyDescent="0.2">
      <c r="B17" s="1215" t="s">
        <v>207</v>
      </c>
      <c r="C17" s="138"/>
      <c r="D17" s="137"/>
      <c r="E17" s="138"/>
      <c r="F17" s="137"/>
      <c r="G17" s="138"/>
      <c r="H17" s="137"/>
      <c r="I17" s="138"/>
      <c r="J17" s="137" t="s">
        <v>20</v>
      </c>
      <c r="K17" s="138"/>
      <c r="L17" s="137"/>
      <c r="M17" s="138"/>
      <c r="N17" s="137"/>
      <c r="O17" s="138"/>
      <c r="P17" s="137"/>
      <c r="Q17" s="138"/>
      <c r="R17" s="137"/>
      <c r="S17" s="138"/>
      <c r="T17" s="137"/>
      <c r="U17" s="138" t="s">
        <v>20</v>
      </c>
      <c r="V17" s="137" t="s">
        <v>20</v>
      </c>
      <c r="X17" s="1" t="s">
        <v>20</v>
      </c>
    </row>
    <row r="18" spans="1:28" thickBot="1" x14ac:dyDescent="0.25">
      <c r="C18" s="138"/>
      <c r="D18" s="137"/>
      <c r="E18" s="138"/>
      <c r="F18" s="137"/>
      <c r="G18" s="138"/>
      <c r="H18" s="137"/>
      <c r="I18" s="138"/>
      <c r="J18" s="137"/>
      <c r="K18" s="138"/>
      <c r="L18" s="137"/>
      <c r="M18" s="138"/>
      <c r="N18" s="137"/>
      <c r="O18" s="138"/>
      <c r="P18" s="137"/>
      <c r="Q18" s="138"/>
      <c r="R18" s="137"/>
      <c r="S18" s="138"/>
      <c r="T18" s="137"/>
      <c r="U18" s="138"/>
      <c r="V18" s="137"/>
      <c r="AA18" s="1" t="s">
        <v>20</v>
      </c>
    </row>
    <row r="19" spans="1:28" ht="14.25" customHeight="1" thickTop="1" thickBot="1" x14ac:dyDescent="0.25">
      <c r="B19" s="270"/>
      <c r="C19" s="1231" t="s">
        <v>89</v>
      </c>
      <c r="D19" s="1221"/>
      <c r="E19" s="1220" t="s">
        <v>99</v>
      </c>
      <c r="F19" s="1220"/>
      <c r="G19" s="1231" t="s">
        <v>101</v>
      </c>
      <c r="H19" s="1220"/>
      <c r="I19" s="1231" t="s">
        <v>106</v>
      </c>
      <c r="J19" s="1221"/>
      <c r="K19" s="1220" t="s">
        <v>155</v>
      </c>
      <c r="L19" s="1221"/>
      <c r="M19" s="1220" t="s">
        <v>160</v>
      </c>
      <c r="N19" s="1221"/>
      <c r="O19" s="1220" t="s">
        <v>179</v>
      </c>
      <c r="P19" s="1221"/>
      <c r="Q19" s="1220" t="s">
        <v>189</v>
      </c>
      <c r="R19" s="1221"/>
      <c r="S19" s="1220" t="s">
        <v>194</v>
      </c>
      <c r="T19" s="1221"/>
      <c r="U19" s="1220" t="s">
        <v>198</v>
      </c>
      <c r="V19" s="1221"/>
      <c r="X19" s="1250" t="s">
        <v>142</v>
      </c>
      <c r="Y19" s="1251"/>
    </row>
    <row r="20" spans="1:28" ht="12" x14ac:dyDescent="0.2">
      <c r="B20" s="45" t="s">
        <v>7</v>
      </c>
      <c r="C20" s="229"/>
      <c r="D20" s="339"/>
      <c r="E20" s="207"/>
      <c r="F20" s="207"/>
      <c r="G20" s="229"/>
      <c r="H20" s="207" t="s">
        <v>20</v>
      </c>
      <c r="I20" s="229"/>
      <c r="J20" s="339" t="s">
        <v>20</v>
      </c>
      <c r="K20" s="207"/>
      <c r="L20" s="339" t="s">
        <v>20</v>
      </c>
      <c r="M20" s="207"/>
      <c r="N20" s="339" t="s">
        <v>20</v>
      </c>
      <c r="O20" s="207"/>
      <c r="P20" s="339" t="s">
        <v>20</v>
      </c>
      <c r="Q20" s="207"/>
      <c r="R20" s="339" t="s">
        <v>20</v>
      </c>
      <c r="S20" s="207"/>
      <c r="T20" s="339" t="s">
        <v>20</v>
      </c>
      <c r="U20" s="207"/>
      <c r="V20" s="339" t="s">
        <v>20</v>
      </c>
      <c r="X20" s="484"/>
      <c r="Y20" s="607"/>
    </row>
    <row r="21" spans="1:28" ht="12" x14ac:dyDescent="0.2">
      <c r="B21" s="50" t="s">
        <v>8</v>
      </c>
      <c r="C21" s="228"/>
      <c r="D21" s="350"/>
      <c r="E21" s="208"/>
      <c r="F21" s="378"/>
      <c r="G21" s="408"/>
      <c r="H21" s="500"/>
      <c r="I21" s="408"/>
      <c r="J21" s="804"/>
      <c r="K21" s="442"/>
      <c r="L21" s="804"/>
      <c r="M21" s="442"/>
      <c r="N21" s="804"/>
      <c r="O21" s="442"/>
      <c r="P21" s="804"/>
      <c r="Q21" s="442"/>
      <c r="R21" s="804"/>
      <c r="S21" s="442"/>
      <c r="T21" s="804"/>
      <c r="U21" s="442"/>
      <c r="V21" s="804"/>
      <c r="X21" s="599"/>
      <c r="Y21" s="609"/>
    </row>
    <row r="22" spans="1:28" ht="12" x14ac:dyDescent="0.2">
      <c r="B22" s="50" t="s">
        <v>9</v>
      </c>
      <c r="C22" s="228"/>
      <c r="D22" s="67">
        <f>Dean_Ed!H27+'Curriculum &amp; Instruction'!D36+Ed_Leader!F26+'Spec_Ed, Couns &amp; Stu Affair'!H29</f>
        <v>4851</v>
      </c>
      <c r="E22" s="208"/>
      <c r="F22" s="67">
        <f>Dean_Ed!J27+'Curriculum &amp; Instruction'!F36+Ed_Leader!H26+'Spec_Ed, Couns &amp; Stu Affair'!J29</f>
        <v>3555</v>
      </c>
      <c r="G22" s="208"/>
      <c r="H22" s="67">
        <f>Dean_Ed!L27+'Curriculum &amp; Instruction'!H36+Ed_Leader!J26+'Spec_Ed, Couns &amp; Stu Affair'!L29</f>
        <v>3538</v>
      </c>
      <c r="I22" s="208"/>
      <c r="J22" s="67">
        <f>Dean_Ed!N27+'Curriculum &amp; Instruction'!J36+'Spec_Ed, Couns &amp; Stu Affair'!N29</f>
        <v>3896</v>
      </c>
      <c r="K22" s="208"/>
      <c r="L22" s="67">
        <f>Dean_Ed!P27+'Curriculum &amp; Instruction'!L36+Ed_Leader!N26+'Spec_Ed, Couns &amp; Stu Affair'!P29</f>
        <v>4639</v>
      </c>
      <c r="M22" s="208"/>
      <c r="N22" s="67">
        <f>Dean_Ed!R27+'Curriculum &amp; Instruction'!N36+Ed_Leader!P26+'Spec_Ed, Couns &amp; Stu Affair'!R29</f>
        <v>4276</v>
      </c>
      <c r="O22" s="208"/>
      <c r="P22" s="341">
        <f>Dean_Ed!T27+'Curriculum &amp; Instruction'!P36+Ed_Leader!R26+'Spec_Ed, Couns &amp; Stu Affair'!T29</f>
        <v>4237</v>
      </c>
      <c r="Q22" s="208"/>
      <c r="R22" s="341">
        <f>Dean_Ed!V27+'Curriculum &amp; Instruction'!R36+Ed_Leader!T26+'Spec_Ed, Couns &amp; Stu Affair'!V29</f>
        <v>4441</v>
      </c>
      <c r="S22" s="208"/>
      <c r="T22" s="341">
        <f>Dean_Ed!X27+'Curriculum &amp; Instruction'!T36+Ed_Leader!V26+'Spec_Ed, Couns &amp; Stu Affair'!X29</f>
        <v>4342</v>
      </c>
      <c r="U22" s="208"/>
      <c r="V22" s="1212"/>
      <c r="X22" s="599"/>
      <c r="Y22" s="608">
        <f t="shared" ref="Y22:Y26" si="2">AVERAGE(V22,T22,R22,P22,N22)</f>
        <v>4324</v>
      </c>
    </row>
    <row r="23" spans="1:28" ht="12" x14ac:dyDescent="0.2">
      <c r="B23" s="50" t="s">
        <v>10</v>
      </c>
      <c r="C23" s="228"/>
      <c r="D23" s="67">
        <f>Dean_Ed!H28+'Curriculum &amp; Instruction'!D37+Ed_Leader!F27+'Spec_Ed, Couns &amp; Stu Affair'!H30</f>
        <v>17982</v>
      </c>
      <c r="E23" s="208"/>
      <c r="F23" s="67">
        <f>Dean_Ed!J28+'Curriculum &amp; Instruction'!F37+Ed_Leader!H27+'Spec_Ed, Couns &amp; Stu Affair'!J30</f>
        <v>16708</v>
      </c>
      <c r="G23" s="208"/>
      <c r="H23" s="67">
        <f>Dean_Ed!L28+'Curriculum &amp; Instruction'!H37+Ed_Leader!J27+'Spec_Ed, Couns &amp; Stu Affair'!L30</f>
        <v>16343</v>
      </c>
      <c r="I23" s="208"/>
      <c r="J23" s="67">
        <f>Dean_Ed!N28+'Curriculum &amp; Instruction'!J37+'Spec_Ed, Couns &amp; Stu Affair'!N30</f>
        <v>15304</v>
      </c>
      <c r="K23" s="208"/>
      <c r="L23" s="67">
        <f>Dean_Ed!P28+'Curriculum &amp; Instruction'!L37+Ed_Leader!N27+'Spec_Ed, Couns &amp; Stu Affair'!P30</f>
        <v>16340</v>
      </c>
      <c r="M23" s="208"/>
      <c r="N23" s="67">
        <f>Dean_Ed!R28+'Curriculum &amp; Instruction'!N37+Ed_Leader!P27+'Spec_Ed, Couns &amp; Stu Affair'!R30</f>
        <v>15325</v>
      </c>
      <c r="O23" s="208"/>
      <c r="P23" s="341">
        <f>Dean_Ed!T28+'Curriculum &amp; Instruction'!P37+Ed_Leader!R27+'Spec_Ed, Couns &amp; Stu Affair'!T30</f>
        <v>15396</v>
      </c>
      <c r="Q23" s="208"/>
      <c r="R23" s="341">
        <f>Dean_Ed!V28+'Curriculum &amp; Instruction'!R37+Ed_Leader!T27+'Spec_Ed, Couns &amp; Stu Affair'!V30</f>
        <v>14735</v>
      </c>
      <c r="S23" s="208"/>
      <c r="T23" s="341">
        <f>Dean_Ed!X28+'Curriculum &amp; Instruction'!T37+Ed_Leader!V27+'Spec_Ed, Couns &amp; Stu Affair'!X30</f>
        <v>16191</v>
      </c>
      <c r="U23" s="208"/>
      <c r="V23" s="1212"/>
      <c r="X23" s="599"/>
      <c r="Y23" s="608">
        <f t="shared" si="2"/>
        <v>15411.75</v>
      </c>
    </row>
    <row r="24" spans="1:28" ht="12" x14ac:dyDescent="0.2">
      <c r="B24" s="50" t="s">
        <v>11</v>
      </c>
      <c r="C24" s="228"/>
      <c r="D24" s="67">
        <f>Dean_Ed!H29+'Curriculum &amp; Instruction'!D38+Ed_Leader!F28+'Spec_Ed, Couns &amp; Stu Affair'!H31</f>
        <v>13356</v>
      </c>
      <c r="E24" s="208"/>
      <c r="F24" s="67">
        <f>Dean_Ed!J29+'Curriculum &amp; Instruction'!F38+Ed_Leader!H28+'Spec_Ed, Couns &amp; Stu Affair'!J31</f>
        <v>13410</v>
      </c>
      <c r="G24" s="208"/>
      <c r="H24" s="67">
        <f>Dean_Ed!L29+'Curriculum &amp; Instruction'!H38+Ed_Leader!J28+'Spec_Ed, Couns &amp; Stu Affair'!L31</f>
        <v>14797</v>
      </c>
      <c r="I24" s="228"/>
      <c r="J24" s="67">
        <f>Dean_Ed!N29+'Curriculum &amp; Instruction'!J38+Ed_Leader!L28+'Spec_Ed, Couns &amp; Stu Affair'!N31</f>
        <v>14162</v>
      </c>
      <c r="K24" s="208"/>
      <c r="L24" s="341">
        <f>Dean_Ed!P29+'Curriculum &amp; Instruction'!L38+Ed_Leader!N28+'Spec_Ed, Couns &amp; Stu Affair'!P31</f>
        <v>13536</v>
      </c>
      <c r="M24" s="208"/>
      <c r="N24" s="341">
        <f>Dean_Ed!R29+'Curriculum &amp; Instruction'!N38+Ed_Leader!P28+'Spec_Ed, Couns &amp; Stu Affair'!R31</f>
        <v>12554</v>
      </c>
      <c r="O24" s="208"/>
      <c r="P24" s="341">
        <f>Dean_Ed!T29+'Curriculum &amp; Instruction'!P38+Ed_Leader!R28+'Spec_Ed, Couns &amp; Stu Affair'!T31</f>
        <v>12457</v>
      </c>
      <c r="Q24" s="208"/>
      <c r="R24" s="341">
        <f>Dean_Ed!V29+'Curriculum &amp; Instruction'!R38+Ed_Leader!T28+'Spec_Ed, Couns &amp; Stu Affair'!V31</f>
        <v>12577</v>
      </c>
      <c r="S24" s="208"/>
      <c r="T24" s="341">
        <f>Dean_Ed!X29+'Curriculum &amp; Instruction'!T38+Ed_Leader!V28+'Spec_Ed, Couns &amp; Stu Affair'!X31</f>
        <v>12892</v>
      </c>
      <c r="U24" s="208"/>
      <c r="V24" s="1212"/>
      <c r="X24" s="599"/>
      <c r="Y24" s="608">
        <f t="shared" si="2"/>
        <v>12620</v>
      </c>
    </row>
    <row r="25" spans="1:28" ht="12" x14ac:dyDescent="0.2">
      <c r="B25" s="50" t="s">
        <v>12</v>
      </c>
      <c r="C25" s="228"/>
      <c r="D25" s="67">
        <f>Dean_Ed!H30+'Curriculum &amp; Instruction'!D39+Ed_Leader!F29+'Spec_Ed, Couns &amp; Stu Affair'!H32</f>
        <v>1966</v>
      </c>
      <c r="E25" s="208"/>
      <c r="F25" s="67">
        <f>Dean_Ed!J30+'Curriculum &amp; Instruction'!F39+Ed_Leader!H29+'Spec_Ed, Couns &amp; Stu Affair'!J32</f>
        <v>1752</v>
      </c>
      <c r="G25" s="208"/>
      <c r="H25" s="67">
        <f>Dean_Ed!L30+'Curriculum &amp; Instruction'!H39+Ed_Leader!J29+'Spec_Ed, Couns &amp; Stu Affair'!L32</f>
        <v>1981</v>
      </c>
      <c r="I25" s="228"/>
      <c r="J25" s="67">
        <f>Dean_Ed!N30+'Curriculum &amp; Instruction'!J39+Ed_Leader!L29+'Spec_Ed, Couns &amp; Stu Affair'!N32</f>
        <v>1815</v>
      </c>
      <c r="K25" s="208"/>
      <c r="L25" s="67">
        <f>Dean_Ed!P30+'Curriculum &amp; Instruction'!L39+Ed_Leader!N29+'Spec_Ed, Couns &amp; Stu Affair'!P32</f>
        <v>1700</v>
      </c>
      <c r="M25" s="208"/>
      <c r="N25" s="67">
        <f>Dean_Ed!R30+'Curriculum &amp; Instruction'!N39+Ed_Leader!P29+'Spec_Ed, Couns &amp; Stu Affair'!R32</f>
        <v>1953</v>
      </c>
      <c r="O25" s="208"/>
      <c r="P25" s="341">
        <f>Dean_Ed!T30+'Curriculum &amp; Instruction'!P39+Ed_Leader!R29+'Spec_Ed, Couns &amp; Stu Affair'!T32</f>
        <v>2155</v>
      </c>
      <c r="Q25" s="208"/>
      <c r="R25" s="341">
        <f>Dean_Ed!V30+'Curriculum &amp; Instruction'!R39+Ed_Leader!T29+'Spec_Ed, Couns &amp; Stu Affair'!V32</f>
        <v>2012</v>
      </c>
      <c r="S25" s="208"/>
      <c r="T25" s="341">
        <f>Dean_Ed!X30+'Curriculum &amp; Instruction'!T39+Ed_Leader!V29+'Spec_Ed, Couns &amp; Stu Affair'!X32</f>
        <v>2102</v>
      </c>
      <c r="U25" s="208"/>
      <c r="V25" s="1212"/>
      <c r="X25" s="599"/>
      <c r="Y25" s="608">
        <f t="shared" si="2"/>
        <v>2055.5</v>
      </c>
    </row>
    <row r="26" spans="1:28" thickBot="1" x14ac:dyDescent="0.25">
      <c r="B26" s="51" t="s">
        <v>13</v>
      </c>
      <c r="C26" s="256"/>
      <c r="D26" s="67">
        <f>Dean_Ed!H31+'Curriculum &amp; Instruction'!D40+Ed_Leader!F30+'Spec_Ed, Couns &amp; Stu Affair'!H33</f>
        <v>38155</v>
      </c>
      <c r="E26" s="361"/>
      <c r="F26" s="67">
        <f>Dean_Ed!J31+'Curriculum &amp; Instruction'!F40+Ed_Leader!H30+'Spec_Ed, Couns &amp; Stu Affair'!J33</f>
        <v>35425</v>
      </c>
      <c r="G26" s="256"/>
      <c r="H26" s="1184">
        <f>Dean_Ed!L31+'Curriculum &amp; Instruction'!H40+Ed_Leader!J30+'Spec_Ed, Couns &amp; Stu Affair'!L33</f>
        <v>36659</v>
      </c>
      <c r="I26" s="256"/>
      <c r="J26" s="1184">
        <f>Dean_Ed!N31+'Curriculum &amp; Instruction'!J40+Ed_Leader!L30+'Spec_Ed, Couns &amp; Stu Affair'!N33</f>
        <v>35177</v>
      </c>
      <c r="K26" s="361"/>
      <c r="L26" s="1184">
        <f>Dean_Ed!P31+'Curriculum &amp; Instruction'!L40+Ed_Leader!N30+'Spec_Ed, Couns &amp; Stu Affair'!P33</f>
        <v>36215</v>
      </c>
      <c r="M26" s="361"/>
      <c r="N26" s="1184">
        <f>Dean_Ed!R31+'Curriculum &amp; Instruction'!N40+Ed_Leader!P30+'Spec_Ed, Couns &amp; Stu Affair'!R33</f>
        <v>34108</v>
      </c>
      <c r="O26" s="361"/>
      <c r="P26" s="1185">
        <f>Dean_Ed!T31+'Curriculum &amp; Instruction'!P40+Ed_Leader!R30+'Spec_Ed, Couns &amp; Stu Affair'!T33</f>
        <v>34245</v>
      </c>
      <c r="Q26" s="361"/>
      <c r="R26" s="1185">
        <f>Dean_Ed!V31+'Curriculum &amp; Instruction'!R40+Ed_Leader!T30+'Spec_Ed, Couns &amp; Stu Affair'!V33</f>
        <v>33765</v>
      </c>
      <c r="S26" s="361"/>
      <c r="T26" s="1185">
        <f>Dean_Ed!X31+'Curriculum &amp; Instruction'!T40+Ed_Leader!V30+'Spec_Ed, Couns &amp; Stu Affair'!X33</f>
        <v>35527</v>
      </c>
      <c r="U26" s="361"/>
      <c r="V26" s="1213"/>
      <c r="X26" s="614"/>
      <c r="Y26" s="654">
        <f t="shared" si="2"/>
        <v>34411.25</v>
      </c>
    </row>
    <row r="27" spans="1:28" ht="14.25" thickTop="1" thickBot="1" x14ac:dyDescent="0.25">
      <c r="A27" s="430"/>
      <c r="B27" s="565" t="s">
        <v>141</v>
      </c>
      <c r="C27" s="1249" t="s">
        <v>110</v>
      </c>
      <c r="D27" s="1222"/>
      <c r="E27" s="1249" t="s">
        <v>111</v>
      </c>
      <c r="F27" s="1252"/>
      <c r="G27" s="1249" t="s">
        <v>128</v>
      </c>
      <c r="H27" s="1252"/>
      <c r="I27" s="1254" t="s">
        <v>129</v>
      </c>
      <c r="J27" s="1222"/>
      <c r="K27" s="1218" t="s">
        <v>156</v>
      </c>
      <c r="L27" s="1222"/>
      <c r="M27" s="1218" t="s">
        <v>161</v>
      </c>
      <c r="N27" s="1222"/>
      <c r="O27" s="1218" t="s">
        <v>180</v>
      </c>
      <c r="P27" s="1222"/>
      <c r="Q27" s="1218" t="s">
        <v>190</v>
      </c>
      <c r="R27" s="1222"/>
      <c r="S27" s="1218" t="s">
        <v>195</v>
      </c>
      <c r="T27" s="1222"/>
      <c r="U27" s="1218" t="s">
        <v>199</v>
      </c>
      <c r="V27" s="1222"/>
      <c r="W27" s="625"/>
      <c r="X27" s="1255" t="s">
        <v>142</v>
      </c>
      <c r="Y27" s="1256"/>
      <c r="Z27" s="397"/>
      <c r="AA27" s="397"/>
      <c r="AB27" s="432"/>
    </row>
    <row r="28" spans="1:28" ht="13.5" customHeight="1" x14ac:dyDescent="0.2">
      <c r="A28" s="430"/>
      <c r="B28" s="566" t="s">
        <v>115</v>
      </c>
      <c r="C28" s="1269">
        <v>0.443</v>
      </c>
      <c r="D28" s="1335"/>
      <c r="E28" s="1241">
        <v>0.374</v>
      </c>
      <c r="F28" s="1270"/>
      <c r="G28" s="567"/>
      <c r="H28" s="568">
        <v>0.38900000000000001</v>
      </c>
      <c r="I28" s="569"/>
      <c r="J28" s="822">
        <v>0.41399999999999998</v>
      </c>
      <c r="K28" s="1333">
        <v>0.47199999999999998</v>
      </c>
      <c r="L28" s="1334"/>
      <c r="M28" s="1354">
        <v>0.41699999999999998</v>
      </c>
      <c r="N28" s="1334"/>
      <c r="O28" s="1354">
        <v>0.48799999999999999</v>
      </c>
      <c r="P28" s="1334"/>
      <c r="Q28" s="1354">
        <v>0.504</v>
      </c>
      <c r="R28" s="1334"/>
      <c r="S28" s="1354">
        <v>0.45100000000000001</v>
      </c>
      <c r="T28" s="1334"/>
      <c r="U28" s="1354">
        <v>0.46600000000000003</v>
      </c>
      <c r="V28" s="1334"/>
      <c r="W28" s="769"/>
      <c r="X28" s="1366">
        <f t="shared" ref="X28:X29" si="3">AVERAGE(U28,S28,Q28,O28,M28)</f>
        <v>0.4652</v>
      </c>
      <c r="Y28" s="1367" t="e">
        <f t="shared" ref="Y28:Y29" si="4">AVERAGE(V28,T28,R28,P28,N28)</f>
        <v>#DIV/0!</v>
      </c>
      <c r="Z28" s="397"/>
      <c r="AA28" s="397"/>
      <c r="AB28" s="432"/>
    </row>
    <row r="29" spans="1:28" ht="13.5" customHeight="1" x14ac:dyDescent="0.2">
      <c r="A29" s="430"/>
      <c r="B29" s="572" t="s">
        <v>116</v>
      </c>
      <c r="C29" s="1272">
        <v>0.33700000000000002</v>
      </c>
      <c r="D29" s="1338"/>
      <c r="E29" s="1234">
        <v>0.13200000000000001</v>
      </c>
      <c r="F29" s="1273"/>
      <c r="G29" s="573"/>
      <c r="H29" s="574">
        <v>0.159</v>
      </c>
      <c r="I29" s="573"/>
      <c r="J29" s="757">
        <v>0.20200000000000001</v>
      </c>
      <c r="K29" s="1336">
        <v>0.29199999999999998</v>
      </c>
      <c r="L29" s="1337"/>
      <c r="M29" s="1355">
        <v>0.26100000000000001</v>
      </c>
      <c r="N29" s="1337"/>
      <c r="O29" s="1355">
        <v>0.317</v>
      </c>
      <c r="P29" s="1337"/>
      <c r="Q29" s="1355">
        <v>0.307</v>
      </c>
      <c r="R29" s="1337"/>
      <c r="S29" s="1355">
        <v>0.312</v>
      </c>
      <c r="T29" s="1337"/>
      <c r="U29" s="1355">
        <v>0.33500000000000002</v>
      </c>
      <c r="V29" s="1337"/>
      <c r="W29" s="769"/>
      <c r="X29" s="1368">
        <f t="shared" si="3"/>
        <v>0.30640000000000001</v>
      </c>
      <c r="Y29" s="1369" t="e">
        <f t="shared" si="4"/>
        <v>#DIV/0!</v>
      </c>
      <c r="Z29" s="397" t="s">
        <v>20</v>
      </c>
      <c r="AA29" s="397"/>
      <c r="AB29" s="432"/>
    </row>
    <row r="30" spans="1:28" ht="13.5" customHeight="1" thickBot="1" x14ac:dyDescent="0.25">
      <c r="B30" s="575" t="s">
        <v>117</v>
      </c>
      <c r="C30" s="1280">
        <f>1-C28-C29</f>
        <v>0.21999999999999992</v>
      </c>
      <c r="D30" s="1224"/>
      <c r="E30" s="1238">
        <f>1-E28-E29</f>
        <v>0.49399999999999999</v>
      </c>
      <c r="F30" s="1237"/>
      <c r="G30" s="1238">
        <f>1-H28-H29</f>
        <v>0.45199999999999996</v>
      </c>
      <c r="H30" s="1237"/>
      <c r="I30" s="1238">
        <f>1-J28-J29</f>
        <v>0.38400000000000006</v>
      </c>
      <c r="J30" s="1237"/>
      <c r="K30" s="1365">
        <f>1-K28-K29</f>
        <v>0.23600000000000004</v>
      </c>
      <c r="L30" s="1357"/>
      <c r="M30" s="1356">
        <f>1-M28-M29</f>
        <v>0.32199999999999995</v>
      </c>
      <c r="N30" s="1357"/>
      <c r="O30" s="1356">
        <f>1-O28-O29</f>
        <v>0.19500000000000001</v>
      </c>
      <c r="P30" s="1357"/>
      <c r="Q30" s="1356">
        <f>1-Q28-Q29</f>
        <v>0.189</v>
      </c>
      <c r="R30" s="1357"/>
      <c r="S30" s="1356">
        <f>1-S28-S29</f>
        <v>0.23699999999999993</v>
      </c>
      <c r="T30" s="1357"/>
      <c r="U30" s="1356">
        <f>1-U28-U29</f>
        <v>0.19900000000000001</v>
      </c>
      <c r="V30" s="1357"/>
      <c r="W30" s="769"/>
      <c r="X30" s="1344">
        <f>1-X28-X29</f>
        <v>0.22839999999999994</v>
      </c>
      <c r="Y30" s="1345"/>
      <c r="Z30" s="397"/>
      <c r="AA30" s="397"/>
      <c r="AB30" s="432"/>
    </row>
    <row r="31" spans="1:28" thickTop="1" x14ac:dyDescent="0.2">
      <c r="B31" s="92"/>
      <c r="C31" s="210"/>
      <c r="D31" s="211"/>
      <c r="E31" s="210"/>
      <c r="F31" s="211"/>
      <c r="G31" s="396"/>
      <c r="H31" s="397"/>
      <c r="I31" s="396"/>
      <c r="J31" s="397"/>
      <c r="K31" s="396"/>
      <c r="L31" s="397"/>
      <c r="M31" s="396"/>
      <c r="N31" s="397"/>
      <c r="O31" s="396"/>
      <c r="P31" s="397"/>
      <c r="Q31" s="396"/>
      <c r="R31" s="397"/>
      <c r="S31" s="396"/>
      <c r="T31" s="397"/>
      <c r="U31" s="396"/>
      <c r="V31" s="397"/>
      <c r="Y31" s="627"/>
    </row>
    <row r="32" spans="1:28" ht="13.5" thickBot="1" x14ac:dyDescent="0.25">
      <c r="A32" s="95" t="s">
        <v>45</v>
      </c>
      <c r="B32" s="82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</row>
    <row r="33" spans="1:25" ht="14.25" thickTop="1" thickBot="1" x14ac:dyDescent="0.25">
      <c r="A33" s="3"/>
      <c r="B33" s="271" t="s">
        <v>63</v>
      </c>
      <c r="C33" s="1231" t="s">
        <v>89</v>
      </c>
      <c r="D33" s="1221"/>
      <c r="E33" s="1220" t="s">
        <v>99</v>
      </c>
      <c r="F33" s="1220"/>
      <c r="G33" s="1231" t="s">
        <v>101</v>
      </c>
      <c r="H33" s="1220"/>
      <c r="I33" s="1231" t="s">
        <v>106</v>
      </c>
      <c r="J33" s="1221"/>
      <c r="K33" s="1220" t="s">
        <v>155</v>
      </c>
      <c r="L33" s="1221"/>
      <c r="M33" s="1220" t="s">
        <v>160</v>
      </c>
      <c r="N33" s="1221"/>
      <c r="O33" s="1220" t="s">
        <v>179</v>
      </c>
      <c r="P33" s="1221"/>
      <c r="Q33" s="1220" t="s">
        <v>189</v>
      </c>
      <c r="R33" s="1221"/>
      <c r="S33" s="1220" t="s">
        <v>194</v>
      </c>
      <c r="T33" s="1221"/>
      <c r="U33" s="1220" t="s">
        <v>198</v>
      </c>
      <c r="V33" s="1221"/>
      <c r="X33" s="1250" t="s">
        <v>142</v>
      </c>
      <c r="Y33" s="1251"/>
    </row>
    <row r="34" spans="1:25" x14ac:dyDescent="0.2">
      <c r="A34" s="3"/>
      <c r="B34" s="272" t="s">
        <v>47</v>
      </c>
      <c r="C34" s="228"/>
      <c r="D34" s="360"/>
      <c r="E34" s="208"/>
      <c r="F34" s="208"/>
      <c r="G34" s="228"/>
      <c r="H34" s="208"/>
      <c r="I34" s="228"/>
      <c r="J34" s="360"/>
      <c r="K34" s="208"/>
      <c r="L34" s="360"/>
      <c r="M34" s="208"/>
      <c r="N34" s="360"/>
      <c r="O34" s="208"/>
      <c r="P34" s="360"/>
      <c r="Q34" s="208"/>
      <c r="R34" s="360"/>
      <c r="S34" s="208"/>
      <c r="T34" s="360"/>
      <c r="U34" s="208"/>
      <c r="V34" s="360"/>
      <c r="X34" s="484"/>
      <c r="Y34" s="607"/>
    </row>
    <row r="35" spans="1:25" x14ac:dyDescent="0.2">
      <c r="A35" s="3"/>
      <c r="B35" s="273" t="s">
        <v>48</v>
      </c>
      <c r="C35" s="229"/>
      <c r="D35" s="239">
        <f>Dean_Ed!H41+Ed_Leader!F39+'El_Ed "old"'!H33+'Sec_Ed "old"'!H42+'Spec_Ed, Couns &amp; Stu Affair'!H43</f>
        <v>8741255</v>
      </c>
      <c r="E35" s="207"/>
      <c r="F35" s="239">
        <f>Dean_Ed!J41+'Curriculum &amp; Instruction'!F50+Ed_Leader!H39+'Spec_Ed, Couns &amp; Stu Affair'!J43</f>
        <v>9314125</v>
      </c>
      <c r="G35" s="207"/>
      <c r="H35" s="239">
        <f>Dean_Ed!L41+'Curriculum &amp; Instruction'!H50+Ed_Leader!J39+'Spec_Ed, Couns &amp; Stu Affair'!L43</f>
        <v>10015458</v>
      </c>
      <c r="I35" s="207"/>
      <c r="J35" s="239">
        <f>Dean_Ed!N41+'Curriculum &amp; Instruction'!J50+Ed_Leader!L39+'Spec_Ed, Couns &amp; Stu Affair'!N43</f>
        <v>9709275</v>
      </c>
      <c r="K35" s="207"/>
      <c r="L35" s="239">
        <f>Dean_Ed!P41+'Curriculum &amp; Instruction'!L50+Ed_Leader!N39+'Spec_Ed, Couns &amp; Stu Affair'!P43</f>
        <v>9452532</v>
      </c>
      <c r="M35" s="207"/>
      <c r="N35" s="239">
        <f>Dean_Ed!R41+'Curriculum &amp; Instruction'!N50+Ed_Leader!P39+'Spec_Ed, Couns &amp; Stu Affair'!R43</f>
        <v>9845607</v>
      </c>
      <c r="O35" s="207"/>
      <c r="P35" s="239">
        <f>Dean_Ed!T41+'Curriculum &amp; Instruction'!P50+Ed_Leader!R39+'Spec_Ed, Couns &amp; Stu Affair'!T43</f>
        <v>10012913</v>
      </c>
      <c r="Q35" s="207"/>
      <c r="R35" s="239">
        <f>Dean_Ed!V41+'Curriculum &amp; Instruction'!R50+Ed_Leader!T39+'Spec_Ed, Couns &amp; Stu Affair'!V43</f>
        <v>10252253</v>
      </c>
      <c r="S35" s="207"/>
      <c r="T35" s="239">
        <f>Dean_Ed!X41+'Curriculum &amp; Instruction'!T50+Ed_Leader!V39+'Spec_Ed, Couns &amp; Stu Affair'!X43</f>
        <v>10266040</v>
      </c>
      <c r="U35" s="207"/>
      <c r="V35" s="239">
        <f>Dean_Ed!Z41+'Curriculum &amp; Instruction'!V50+Ed_Leader!X39+'Spec_Ed, Couns &amp; Stu Affair'!Z43</f>
        <v>11529186</v>
      </c>
      <c r="X35" s="599"/>
      <c r="Y35" s="631">
        <f t="shared" ref="Y35:Y38" si="5">AVERAGE(V35,T35,R35,P35,N35)</f>
        <v>10381199.800000001</v>
      </c>
    </row>
    <row r="36" spans="1:25" x14ac:dyDescent="0.2">
      <c r="A36" s="3"/>
      <c r="B36" s="273" t="s">
        <v>166</v>
      </c>
      <c r="C36" s="229"/>
      <c r="D36" s="937"/>
      <c r="E36" s="207"/>
      <c r="F36" s="238">
        <f>Dean_Ed!J42+'Curriculum &amp; Instruction'!F51+Ed_Leader!H40+'Spec_Ed, Couns &amp; Stu Affair'!J44</f>
        <v>432838</v>
      </c>
      <c r="G36" s="207"/>
      <c r="H36" s="238">
        <f>Dean_Ed!L42+'Curriculum &amp; Instruction'!H51+Ed_Leader!J40+'Spec_Ed, Couns &amp; Stu Affair'!L44</f>
        <v>420409</v>
      </c>
      <c r="I36" s="207"/>
      <c r="J36" s="238">
        <f>Dean_Ed!N42+'Curriculum &amp; Instruction'!J51+Ed_Leader!L40+'Spec_Ed, Couns &amp; Stu Affair'!N44</f>
        <v>403796</v>
      </c>
      <c r="K36" s="207"/>
      <c r="L36" s="238">
        <f>Dean_Ed!P42+'Curriculum &amp; Instruction'!L51+Ed_Leader!N40+'Spec_Ed, Couns &amp; Stu Affair'!P44</f>
        <v>174757</v>
      </c>
      <c r="M36" s="207"/>
      <c r="N36" s="238">
        <f>Dean_Ed!R42+'Curriculum &amp; Instruction'!N51+Ed_Leader!P40+'Spec_Ed, Couns &amp; Stu Affair'!R44</f>
        <v>175013</v>
      </c>
      <c r="O36" s="207"/>
      <c r="P36" s="238">
        <f>Dean_Ed!T42+'Curriculum &amp; Instruction'!P51+Ed_Leader!R40+'Spec_Ed, Couns &amp; Stu Affair'!T44</f>
        <v>117753</v>
      </c>
      <c r="Q36" s="207"/>
      <c r="R36" s="238">
        <f>Dean_Ed!V42+'Curriculum &amp; Instruction'!R51+Ed_Leader!T40+'Spec_Ed, Couns &amp; Stu Affair'!V44</f>
        <v>117740</v>
      </c>
      <c r="S36" s="207"/>
      <c r="T36" s="238">
        <f>Dean_Ed!X42+'Curriculum &amp; Instruction'!T51+Ed_Leader!V40+'Spec_Ed, Couns &amp; Stu Affair'!X44</f>
        <v>117650</v>
      </c>
      <c r="U36" s="207"/>
      <c r="V36" s="238">
        <f>Dean_Ed!Z42+'Curriculum &amp; Instruction'!V51+Ed_Leader!X40+'Spec_Ed, Couns &amp; Stu Affair'!Z44</f>
        <v>117619</v>
      </c>
      <c r="X36" s="599"/>
      <c r="Y36" s="631">
        <f t="shared" si="5"/>
        <v>129155</v>
      </c>
    </row>
    <row r="37" spans="1:25" ht="24" x14ac:dyDescent="0.2">
      <c r="A37" s="3"/>
      <c r="B37" s="274" t="s">
        <v>167</v>
      </c>
      <c r="C37" s="228"/>
      <c r="D37" s="238">
        <f>Dean_Ed!H43+Ed_Leader!F41+'El_Ed "old"'!H34+'Sec_Ed "old"'!H43+'Spec_Ed, Couns &amp; Stu Affair'!H45</f>
        <v>9726834</v>
      </c>
      <c r="E37" s="208"/>
      <c r="F37" s="238">
        <f>Dean_Ed!J43+'Curriculum &amp; Instruction'!F52+Ed_Leader!H41+'Spec_Ed, Couns &amp; Stu Affair'!J45</f>
        <v>9740204</v>
      </c>
      <c r="G37" s="208"/>
      <c r="H37" s="238">
        <f>Dean_Ed!L43+'Curriculum &amp; Instruction'!H52+Ed_Leader!J41+'Spec_Ed, Couns &amp; Stu Affair'!L45</f>
        <v>9240038</v>
      </c>
      <c r="I37" s="208"/>
      <c r="J37" s="238">
        <f>Dean_Ed!N43+'Curriculum &amp; Instruction'!J52+Ed_Leader!L41+'Spec_Ed, Couns &amp; Stu Affair'!N45</f>
        <v>8350853</v>
      </c>
      <c r="K37" s="208"/>
      <c r="L37" s="238">
        <f>Dean_Ed!P43+'Curriculum &amp; Instruction'!L52+Ed_Leader!N41+'Spec_Ed, Couns &amp; Stu Affair'!P45</f>
        <v>7949691</v>
      </c>
      <c r="M37" s="208"/>
      <c r="N37" s="238">
        <f>Dean_Ed!R43+'Curriculum &amp; Instruction'!N52+Ed_Leader!P41+'Spec_Ed, Couns &amp; Stu Affair'!R45</f>
        <v>7968331</v>
      </c>
      <c r="O37" s="208"/>
      <c r="P37" s="238">
        <f>Dean_Ed!T43+'Curriculum &amp; Instruction'!P52+Ed_Leader!R41+'Spec_Ed, Couns &amp; Stu Affair'!T45</f>
        <v>8548549</v>
      </c>
      <c r="Q37" s="208"/>
      <c r="R37" s="238">
        <f>Dean_Ed!V43+'Curriculum &amp; Instruction'!R52+Ed_Leader!T41+'Spec_Ed, Couns &amp; Stu Affair'!V45</f>
        <v>8161821</v>
      </c>
      <c r="S37" s="208"/>
      <c r="T37" s="238">
        <f>Dean_Ed!X43+'Curriculum &amp; Instruction'!T52+Ed_Leader!V41+'Spec_Ed, Couns &amp; Stu Affair'!X45</f>
        <v>8163418</v>
      </c>
      <c r="U37" s="208"/>
      <c r="V37" s="238">
        <f>Dean_Ed!Z43+'Curriculum &amp; Instruction'!V52+Ed_Leader!X41+'Spec_Ed, Couns &amp; Stu Affair'!Z45</f>
        <v>8248349</v>
      </c>
      <c r="X37" s="599"/>
      <c r="Y37" s="631">
        <f t="shared" si="5"/>
        <v>8218093.5999999996</v>
      </c>
    </row>
    <row r="38" spans="1:25" x14ac:dyDescent="0.2">
      <c r="A38" s="3"/>
      <c r="B38" s="275" t="s">
        <v>49</v>
      </c>
      <c r="C38" s="230"/>
      <c r="D38" s="803">
        <f>Dean_Ed!H44+Ed_Leader!F42+'El_Ed "old"'!H35+'Sec_Ed "old"'!H44+'Spec_Ed, Couns &amp; Stu Affair'!H46</f>
        <v>18468089</v>
      </c>
      <c r="E38" s="212"/>
      <c r="F38" s="803">
        <f>Dean_Ed!J44+'Curriculum &amp; Instruction'!F53+Ed_Leader!H42+'Spec_Ed, Couns &amp; Stu Affair'!J46</f>
        <v>19487167</v>
      </c>
      <c r="G38" s="212"/>
      <c r="H38" s="803">
        <f>Dean_Ed!L44+'Curriculum &amp; Instruction'!H53+Ed_Leader!J42+'Spec_Ed, Couns &amp; Stu Affair'!L46</f>
        <v>19675905</v>
      </c>
      <c r="I38" s="212"/>
      <c r="J38" s="803">
        <f>Dean_Ed!N44+'Curriculum &amp; Instruction'!J53+Ed_Leader!L42+'Spec_Ed, Couns &amp; Stu Affair'!N46</f>
        <v>18463924</v>
      </c>
      <c r="K38" s="212"/>
      <c r="L38" s="803">
        <f>Dean_Ed!P44+'Curriculum &amp; Instruction'!L53+Ed_Leader!N42+'Spec_Ed, Couns &amp; Stu Affair'!P46</f>
        <v>17576980</v>
      </c>
      <c r="M38" s="212"/>
      <c r="N38" s="803">
        <f>Dean_Ed!R44+'Curriculum &amp; Instruction'!N53+Ed_Leader!P42+'Spec_Ed, Couns &amp; Stu Affair'!R46</f>
        <v>17988951</v>
      </c>
      <c r="O38" s="212"/>
      <c r="P38" s="803">
        <f>Dean_Ed!T44+'Curriculum &amp; Instruction'!P53+Ed_Leader!R42+'Spec_Ed, Couns &amp; Stu Affair'!T46</f>
        <v>18679215</v>
      </c>
      <c r="Q38" s="212"/>
      <c r="R38" s="803">
        <f>Dean_Ed!V44+'Curriculum &amp; Instruction'!R53+Ed_Leader!T42+'Spec_Ed, Couns &amp; Stu Affair'!V46</f>
        <v>18531814</v>
      </c>
      <c r="S38" s="212"/>
      <c r="T38" s="803">
        <f>Dean_Ed!X44+'Curriculum &amp; Instruction'!T53+Ed_Leader!V42+'Spec_Ed, Couns &amp; Stu Affair'!X46</f>
        <v>18547108</v>
      </c>
      <c r="U38" s="212"/>
      <c r="V38" s="803">
        <f>Dean_Ed!Z44+'Curriculum &amp; Instruction'!V53+Ed_Leader!X42+'Spec_Ed, Couns &amp; Stu Affair'!Z46</f>
        <v>19895154</v>
      </c>
      <c r="X38" s="599"/>
      <c r="Y38" s="719">
        <f t="shared" si="5"/>
        <v>18728448.399999999</v>
      </c>
    </row>
    <row r="39" spans="1:25" x14ac:dyDescent="0.2">
      <c r="A39" s="3"/>
      <c r="B39" s="276" t="s">
        <v>50</v>
      </c>
      <c r="C39" s="228"/>
      <c r="D39" s="239"/>
      <c r="E39" s="208"/>
      <c r="F39" s="238">
        <f>Dean_Ed!J45+'Curriculum &amp; Instruction'!F54+Ed_Leader!H43+'Spec_Ed, Couns &amp; Stu Affair'!J47</f>
        <v>0</v>
      </c>
      <c r="G39" s="208"/>
      <c r="H39" s="238">
        <f>Dean_Ed!L45+'Curriculum &amp; Instruction'!H54+Ed_Leader!J43+'Spec_Ed, Couns &amp; Stu Affair'!L47</f>
        <v>0</v>
      </c>
      <c r="I39" s="208"/>
      <c r="J39" s="238">
        <f>Dean_Ed!N45+'Curriculum &amp; Instruction'!J54+Ed_Leader!L43+'Spec_Ed, Couns &amp; Stu Affair'!N47</f>
        <v>0</v>
      </c>
      <c r="K39" s="208"/>
      <c r="L39" s="238">
        <f>Dean_Ed!P45+'Curriculum &amp; Instruction'!L54+Ed_Leader!N43+'Spec_Ed, Couns &amp; Stu Affair'!P47</f>
        <v>0</v>
      </c>
      <c r="M39" s="208"/>
      <c r="N39" s="238">
        <f>Dean_Ed!R45+'Curriculum &amp; Instruction'!N54+Ed_Leader!P43+'Spec_Ed, Couns &amp; Stu Affair'!R47</f>
        <v>0</v>
      </c>
      <c r="O39" s="208"/>
      <c r="P39" s="238">
        <f>Dean_Ed!T45+'Curriculum &amp; Instruction'!P54+Ed_Leader!R43+'Spec_Ed, Couns &amp; Stu Affair'!T47</f>
        <v>0</v>
      </c>
      <c r="Q39" s="208"/>
      <c r="R39" s="238">
        <f>Dean_Ed!V45+'Curriculum &amp; Instruction'!R54+Ed_Leader!T43+'Spec_Ed, Couns &amp; Stu Affair'!V47</f>
        <v>0</v>
      </c>
      <c r="S39" s="208"/>
      <c r="T39" s="238">
        <f>Dean_Ed!X45+'Curriculum &amp; Instruction'!T54+Ed_Leader!V43+'Spec_Ed, Couns &amp; Stu Affair'!X47</f>
        <v>0</v>
      </c>
      <c r="U39" s="208"/>
      <c r="V39" s="238">
        <f>Dean_Ed!Z45+'Curriculum &amp; Instruction'!V54+Ed_Leader!X43+'Spec_Ed, Couns &amp; Stu Affair'!Z47</f>
        <v>0</v>
      </c>
      <c r="X39" s="599"/>
      <c r="Y39" s="631">
        <f t="shared" ref="Y39:Y41" si="6">AVERAGE(T39,R39,P39,N39,L39)</f>
        <v>0</v>
      </c>
    </row>
    <row r="40" spans="1:25" x14ac:dyDescent="0.2">
      <c r="A40" s="3"/>
      <c r="B40" s="273" t="s">
        <v>48</v>
      </c>
      <c r="C40" s="228"/>
      <c r="D40" s="239"/>
      <c r="E40" s="208"/>
      <c r="F40" s="238">
        <f>Dean_Ed!J46+'Curriculum &amp; Instruction'!F55+Ed_Leader!H44+'Spec_Ed, Couns &amp; Stu Affair'!J48</f>
        <v>0</v>
      </c>
      <c r="G40" s="208"/>
      <c r="H40" s="238">
        <f>Dean_Ed!L46+'Curriculum &amp; Instruction'!H55+Ed_Leader!J44+'Spec_Ed, Couns &amp; Stu Affair'!L48</f>
        <v>0</v>
      </c>
      <c r="I40" s="208"/>
      <c r="J40" s="238">
        <f>Dean_Ed!N46+'Curriculum &amp; Instruction'!J55+Ed_Leader!L44+'Spec_Ed, Couns &amp; Stu Affair'!N48</f>
        <v>0</v>
      </c>
      <c r="K40" s="208"/>
      <c r="L40" s="238">
        <f>Dean_Ed!P46+'Curriculum &amp; Instruction'!L55+Ed_Leader!N44+'Spec_Ed, Couns &amp; Stu Affair'!P48</f>
        <v>0</v>
      </c>
      <c r="M40" s="208"/>
      <c r="N40" s="238">
        <f>Dean_Ed!R46+'Curriculum &amp; Instruction'!N55+Ed_Leader!P44+'Spec_Ed, Couns &amp; Stu Affair'!R48</f>
        <v>0</v>
      </c>
      <c r="O40" s="208"/>
      <c r="P40" s="238">
        <f>Dean_Ed!T46+'Curriculum &amp; Instruction'!P55+Ed_Leader!R44+'Spec_Ed, Couns &amp; Stu Affair'!T48</f>
        <v>0</v>
      </c>
      <c r="Q40" s="208"/>
      <c r="R40" s="238">
        <f>Dean_Ed!V46+'Curriculum &amp; Instruction'!R55+Ed_Leader!T44+'Spec_Ed, Couns &amp; Stu Affair'!V48</f>
        <v>0</v>
      </c>
      <c r="S40" s="208"/>
      <c r="T40" s="238">
        <f>Dean_Ed!X46+'Curriculum &amp; Instruction'!T55+Ed_Leader!V44+'Spec_Ed, Couns &amp; Stu Affair'!X48</f>
        <v>0</v>
      </c>
      <c r="U40" s="208"/>
      <c r="V40" s="238">
        <f>Dean_Ed!Z46+'Curriculum &amp; Instruction'!V55+Ed_Leader!X44+'Spec_Ed, Couns &amp; Stu Affair'!Z48</f>
        <v>0</v>
      </c>
      <c r="X40" s="599"/>
      <c r="Y40" s="631">
        <f t="shared" si="6"/>
        <v>0</v>
      </c>
    </row>
    <row r="41" spans="1:25" x14ac:dyDescent="0.2">
      <c r="A41" s="3"/>
      <c r="B41" s="273" t="s">
        <v>166</v>
      </c>
      <c r="C41" s="228"/>
      <c r="D41" s="239"/>
      <c r="E41" s="208"/>
      <c r="F41" s="238">
        <f>Dean_Ed!J47+'Curriculum &amp; Instruction'!F56+Ed_Leader!H45+'Spec_Ed, Couns &amp; Stu Affair'!J49</f>
        <v>0</v>
      </c>
      <c r="G41" s="208"/>
      <c r="H41" s="238">
        <f>Dean_Ed!L47+'Curriculum &amp; Instruction'!H56+Ed_Leader!J45+'Spec_Ed, Couns &amp; Stu Affair'!L49</f>
        <v>0</v>
      </c>
      <c r="I41" s="208"/>
      <c r="J41" s="238">
        <f>Dean_Ed!N47+'Curriculum &amp; Instruction'!J56+Ed_Leader!L45+'Spec_Ed, Couns &amp; Stu Affair'!N49</f>
        <v>0</v>
      </c>
      <c r="K41" s="208"/>
      <c r="L41" s="238">
        <f>Dean_Ed!P47+'Curriculum &amp; Instruction'!L56+Ed_Leader!N45+'Spec_Ed, Couns &amp; Stu Affair'!P49</f>
        <v>0</v>
      </c>
      <c r="M41" s="208"/>
      <c r="N41" s="238">
        <f>Dean_Ed!R47+'Curriculum &amp; Instruction'!N56+Ed_Leader!P45+'Spec_Ed, Couns &amp; Stu Affair'!R49</f>
        <v>0</v>
      </c>
      <c r="O41" s="208"/>
      <c r="P41" s="238">
        <f>Dean_Ed!T47+'Curriculum &amp; Instruction'!P56+Ed_Leader!R45+'Spec_Ed, Couns &amp; Stu Affair'!T49</f>
        <v>0</v>
      </c>
      <c r="Q41" s="208"/>
      <c r="R41" s="238">
        <f>Dean_Ed!V47+'Curriculum &amp; Instruction'!R56+Ed_Leader!T45+'Spec_Ed, Couns &amp; Stu Affair'!V49</f>
        <v>0</v>
      </c>
      <c r="S41" s="208"/>
      <c r="T41" s="238">
        <f>Dean_Ed!X47+'Curriculum &amp; Instruction'!T56+Ed_Leader!V45+'Spec_Ed, Couns &amp; Stu Affair'!X49</f>
        <v>0</v>
      </c>
      <c r="U41" s="208"/>
      <c r="V41" s="238">
        <f>Dean_Ed!Z47+'Curriculum &amp; Instruction'!V56+Ed_Leader!X45+'Spec_Ed, Couns &amp; Stu Affair'!Z49</f>
        <v>0</v>
      </c>
      <c r="X41" s="599"/>
      <c r="Y41" s="631">
        <f t="shared" si="6"/>
        <v>0</v>
      </c>
    </row>
    <row r="42" spans="1:25" ht="24" x14ac:dyDescent="0.2">
      <c r="A42" s="3"/>
      <c r="B42" s="274" t="s">
        <v>58</v>
      </c>
      <c r="C42" s="228"/>
      <c r="D42" s="239"/>
      <c r="E42" s="208"/>
      <c r="F42" s="238">
        <f>Dean_Ed!J48+'Curriculum &amp; Instruction'!F57+Ed_Leader!H46+'Spec_Ed, Couns &amp; Stu Affair'!J50</f>
        <v>0</v>
      </c>
      <c r="G42" s="208"/>
      <c r="H42" s="238">
        <f>Dean_Ed!L48+'Curriculum &amp; Instruction'!H57+Ed_Leader!J46+'Spec_Ed, Couns &amp; Stu Affair'!L50</f>
        <v>0</v>
      </c>
      <c r="I42" s="208"/>
      <c r="J42" s="238">
        <f>Dean_Ed!N48+'Curriculum &amp; Instruction'!J57+Ed_Leader!L46+'Spec_Ed, Couns &amp; Stu Affair'!N50</f>
        <v>0</v>
      </c>
      <c r="K42" s="208"/>
      <c r="L42" s="238">
        <f>Dean_Ed!P48+'Curriculum &amp; Instruction'!L57+Ed_Leader!N46+'Spec_Ed, Couns &amp; Stu Affair'!P50</f>
        <v>0</v>
      </c>
      <c r="M42" s="208"/>
      <c r="N42" s="238">
        <f>Dean_Ed!R48+'Curriculum &amp; Instruction'!N57+Ed_Leader!P46+'Spec_Ed, Couns &amp; Stu Affair'!R50</f>
        <v>0</v>
      </c>
      <c r="O42" s="208"/>
      <c r="P42" s="238">
        <f>Dean_Ed!T48+'Curriculum &amp; Instruction'!P57+Ed_Leader!R46+'Spec_Ed, Couns &amp; Stu Affair'!T50</f>
        <v>0</v>
      </c>
      <c r="Q42" s="208"/>
      <c r="R42" s="238">
        <f>Dean_Ed!V48+'Curriculum &amp; Instruction'!R57+Ed_Leader!T46+'Spec_Ed, Couns &amp; Stu Affair'!V50</f>
        <v>0</v>
      </c>
      <c r="S42" s="208"/>
      <c r="T42" s="238">
        <f>Dean_Ed!X48+'Curriculum &amp; Instruction'!T57+Ed_Leader!V46+'Spec_Ed, Couns &amp; Stu Affair'!X50</f>
        <v>0</v>
      </c>
      <c r="U42" s="208"/>
      <c r="V42" s="238">
        <f>Dean_Ed!Z48+'Curriculum &amp; Instruction'!V57+Ed_Leader!X46+'Spec_Ed, Couns &amp; Stu Affair'!Z50</f>
        <v>0</v>
      </c>
      <c r="X42" s="599"/>
      <c r="Y42" s="631">
        <f t="shared" ref="Y42:Y43" si="7">AVERAGE(T42,R42,P42,N42,L42)</f>
        <v>0</v>
      </c>
    </row>
    <row r="43" spans="1:25" x14ac:dyDescent="0.2">
      <c r="A43" s="3"/>
      <c r="B43" s="275" t="s">
        <v>51</v>
      </c>
      <c r="C43" s="230"/>
      <c r="D43" s="240">
        <v>0</v>
      </c>
      <c r="E43" s="212"/>
      <c r="F43" s="238">
        <f>Dean_Ed!J49+'Curriculum &amp; Instruction'!F58+Ed_Leader!H47+'Spec_Ed, Couns &amp; Stu Affair'!J51</f>
        <v>0</v>
      </c>
      <c r="G43" s="212"/>
      <c r="H43" s="238">
        <f>Dean_Ed!L49+'Curriculum &amp; Instruction'!H58+Ed_Leader!J47+'Spec_Ed, Couns &amp; Stu Affair'!L51</f>
        <v>0</v>
      </c>
      <c r="I43" s="212"/>
      <c r="J43" s="238">
        <f>Dean_Ed!N49+'Curriculum &amp; Instruction'!J58+Ed_Leader!L47+'Spec_Ed, Couns &amp; Stu Affair'!N51</f>
        <v>0</v>
      </c>
      <c r="K43" s="212"/>
      <c r="L43" s="238">
        <f>Dean_Ed!P49+'Curriculum &amp; Instruction'!L58+Ed_Leader!N47+'Spec_Ed, Couns &amp; Stu Affair'!P51</f>
        <v>0</v>
      </c>
      <c r="M43" s="212"/>
      <c r="N43" s="238">
        <f>Dean_Ed!R49+'Curriculum &amp; Instruction'!N58+Ed_Leader!P47+'Spec_Ed, Couns &amp; Stu Affair'!R51</f>
        <v>0</v>
      </c>
      <c r="O43" s="212"/>
      <c r="P43" s="238">
        <f>Dean_Ed!T49+'Curriculum &amp; Instruction'!P58+Ed_Leader!R47+'Spec_Ed, Couns &amp; Stu Affair'!T51</f>
        <v>0</v>
      </c>
      <c r="Q43" s="212"/>
      <c r="R43" s="238">
        <f>Dean_Ed!V49+'Curriculum &amp; Instruction'!R58+Ed_Leader!T47+'Spec_Ed, Couns &amp; Stu Affair'!V51</f>
        <v>0</v>
      </c>
      <c r="S43" s="212"/>
      <c r="T43" s="238">
        <f>Dean_Ed!X49+'Curriculum &amp; Instruction'!T58+Ed_Leader!V47+'Spec_Ed, Couns &amp; Stu Affair'!X51</f>
        <v>0</v>
      </c>
      <c r="U43" s="212"/>
      <c r="V43" s="238">
        <f>Dean_Ed!Z49+'Curriculum &amp; Instruction'!V58+Ed_Leader!X47+'Spec_Ed, Couns &amp; Stu Affair'!Z51</f>
        <v>0</v>
      </c>
      <c r="X43" s="599"/>
      <c r="Y43" s="631">
        <f t="shared" si="7"/>
        <v>0</v>
      </c>
    </row>
    <row r="44" spans="1:25" ht="13.5" thickBot="1" x14ac:dyDescent="0.25">
      <c r="A44" s="3"/>
      <c r="B44" s="277" t="s">
        <v>52</v>
      </c>
      <c r="C44" s="228"/>
      <c r="D44" s="789">
        <f>Dean_Ed!H50+Ed_Leader!F48+'El_Ed "old"'!H40+'Sec_Ed "old"'!H49+'Spec_Ed, Couns &amp; Stu Affair'!H52</f>
        <v>18468089</v>
      </c>
      <c r="E44" s="212"/>
      <c r="F44" s="1023">
        <f>Dean_Ed!J50+'Curriculum &amp; Instruction'!F59+Ed_Leader!H48+'Spec_Ed, Couns &amp; Stu Affair'!J52</f>
        <v>19487167</v>
      </c>
      <c r="G44" s="212"/>
      <c r="H44" s="1023">
        <f>Dean_Ed!L50+'Curriculum &amp; Instruction'!H59+Ed_Leader!J48+'Spec_Ed, Couns &amp; Stu Affair'!L52</f>
        <v>19675905</v>
      </c>
      <c r="I44" s="212"/>
      <c r="J44" s="1023">
        <f>Dean_Ed!N50+'Curriculum &amp; Instruction'!J59+Ed_Leader!L48+'Spec_Ed, Couns &amp; Stu Affair'!N52</f>
        <v>18463924</v>
      </c>
      <c r="K44" s="212"/>
      <c r="L44" s="1023">
        <f>Dean_Ed!P50+'Curriculum &amp; Instruction'!L59+Ed_Leader!N48+'Spec_Ed, Couns &amp; Stu Affair'!P52</f>
        <v>17576980</v>
      </c>
      <c r="M44" s="212"/>
      <c r="N44" s="1023">
        <f>Dean_Ed!R50+'Curriculum &amp; Instruction'!N59+Ed_Leader!P48+'Spec_Ed, Couns &amp; Stu Affair'!R52</f>
        <v>17988951</v>
      </c>
      <c r="O44" s="212"/>
      <c r="P44" s="1023">
        <f>Dean_Ed!T50+'Curriculum &amp; Instruction'!P59+Ed_Leader!R48+'Spec_Ed, Couns &amp; Stu Affair'!T52</f>
        <v>18679215</v>
      </c>
      <c r="Q44" s="212"/>
      <c r="R44" s="1023">
        <f>Dean_Ed!V50+'Curriculum &amp; Instruction'!R59+Ed_Leader!T48+'Spec_Ed, Couns &amp; Stu Affair'!V52</f>
        <v>18531814</v>
      </c>
      <c r="S44" s="212"/>
      <c r="T44" s="1023">
        <f>Dean_Ed!X50+'Curriculum &amp; Instruction'!T59+Ed_Leader!V48+'Spec_Ed, Couns &amp; Stu Affair'!X52</f>
        <v>18547108</v>
      </c>
      <c r="U44" s="212"/>
      <c r="V44" s="1023">
        <f>Dean_Ed!Z50+'Curriculum &amp; Instruction'!V59+Ed_Leader!X48+'Spec_Ed, Couns &amp; Stu Affair'!Z52</f>
        <v>19895154</v>
      </c>
      <c r="X44" s="601"/>
      <c r="Y44" s="720">
        <f t="shared" ref="Y44" si="8">AVERAGE(V44,T44,R44,P44,N44)</f>
        <v>18728448.399999999</v>
      </c>
    </row>
    <row r="45" spans="1:25" ht="12" x14ac:dyDescent="0.2">
      <c r="B45" s="278" t="s">
        <v>173</v>
      </c>
      <c r="C45" s="231"/>
      <c r="D45" s="344"/>
      <c r="E45" s="213"/>
      <c r="F45" s="213"/>
      <c r="G45" s="231"/>
      <c r="H45" s="213"/>
      <c r="I45" s="231"/>
      <c r="J45" s="344"/>
      <c r="K45" s="213"/>
      <c r="L45" s="344"/>
      <c r="M45" s="213"/>
      <c r="N45" s="344"/>
      <c r="O45" s="213"/>
      <c r="P45" s="344"/>
      <c r="Q45" s="213"/>
      <c r="R45" s="344"/>
      <c r="S45" s="213"/>
      <c r="T45" s="344"/>
      <c r="U45" s="213"/>
      <c r="V45" s="344"/>
      <c r="X45" s="484"/>
      <c r="Y45" s="607"/>
    </row>
    <row r="46" spans="1:25" ht="12" x14ac:dyDescent="0.2">
      <c r="B46" s="50" t="s">
        <v>14</v>
      </c>
      <c r="C46" s="798"/>
      <c r="D46" s="801">
        <f>Dean_Ed!H52+Ed_Leader!F50+'El_Ed "old"'!H42+'Sec_Ed "old"'!H51+'Spec_Ed, Couns &amp; Stu Affair'!H54</f>
        <v>9932588</v>
      </c>
      <c r="E46" s="414"/>
      <c r="F46" s="794">
        <f>Dean_Ed!J52+Ed_Leader!H50+'El_Ed "old"'!J42+'Sec_Ed "old"'!J51+'Spec_Ed, Couns &amp; Stu Affair'!J54</f>
        <v>9822530</v>
      </c>
      <c r="G46" s="798"/>
      <c r="H46" s="794">
        <f>Dean_Ed!L52+Ed_Leader!J50+'El_Ed "old"'!L42+'Sec_Ed "old"'!L51+'Spec_Ed, Couns &amp; Stu Affair'!L54</f>
        <v>10256479</v>
      </c>
      <c r="I46" s="798"/>
      <c r="J46" s="818">
        <f>Dean_Ed!N52+Ed_Leader!L50+'El_Ed "old"'!N42+'Sec_Ed "old"'!N51+'Spec_Ed, Couns &amp; Stu Affair'!N54</f>
        <v>9052646</v>
      </c>
      <c r="K46" s="414"/>
      <c r="L46" s="801">
        <f>Dean_Ed!P52+Ed_Leader!N50+'El_Ed "old"'!P42+'Sec_Ed "old"'!P51+'Spec_Ed, Couns &amp; Stu Affair'!P54</f>
        <v>8658980</v>
      </c>
      <c r="M46" s="414"/>
      <c r="N46" s="801">
        <f>Dean_Ed!R52+Ed_Leader!P50+'Curriculum &amp; Instruction'!N61+'Spec_Ed, Couns &amp; Stu Affair'!R54</f>
        <v>8919478</v>
      </c>
      <c r="O46" s="414"/>
      <c r="P46" s="801">
        <f>Dean_Ed!T52+Ed_Leader!R50+'Curriculum &amp; Instruction'!P61+'Spec_Ed, Couns &amp; Stu Affair'!T54</f>
        <v>9007466</v>
      </c>
      <c r="Q46" s="414"/>
      <c r="R46" s="801">
        <f>Dean_Ed!V52+Ed_Leader!T50+'Curriculum &amp; Instruction'!R61+'Spec_Ed, Couns &amp; Stu Affair'!V54</f>
        <v>10583885</v>
      </c>
      <c r="S46" s="414"/>
      <c r="T46" s="801">
        <f>Dean_Ed!X52+Ed_Leader!V50+'Curriculum &amp; Instruction'!T61+'Spec_Ed, Couns &amp; Stu Affair'!X54</f>
        <v>10028602.074670898</v>
      </c>
      <c r="U46" s="414"/>
      <c r="V46" s="1020"/>
      <c r="X46" s="599"/>
      <c r="Y46" s="606">
        <f>AVERAGE(L46,T46,R46,P46,N46)</f>
        <v>9439682.2149341796</v>
      </c>
    </row>
    <row r="47" spans="1:25" thickBot="1" x14ac:dyDescent="0.25">
      <c r="B47" s="279" t="s">
        <v>15</v>
      </c>
      <c r="C47" s="799"/>
      <c r="D47" s="802">
        <f>Dean_Ed!H53+Ed_Leader!F51+'El_Ed "old"'!H43+'Sec_Ed "old"'!H52+'Spec_Ed, Couns &amp; Stu Affair'!H55</f>
        <v>0</v>
      </c>
      <c r="E47" s="800"/>
      <c r="F47" s="794">
        <f>Dean_Ed!J53+Ed_Leader!H51+'El_Ed "old"'!J43+'Sec_Ed "old"'!J52+'Spec_Ed, Couns &amp; Stu Affair'!J55</f>
        <v>9613</v>
      </c>
      <c r="G47" s="799"/>
      <c r="H47" s="794">
        <f>Dean_Ed!L53+Ed_Leader!J51+'El_Ed "old"'!L43+'Sec_Ed "old"'!L52+'Spec_Ed, Couns &amp; Stu Affair'!L55</f>
        <v>118283</v>
      </c>
      <c r="I47" s="799"/>
      <c r="J47" s="818">
        <f>Dean_Ed!N53+Ed_Leader!L51+'El_Ed "old"'!N43+'Sec_Ed "old"'!N52+'Spec_Ed, Couns &amp; Stu Affair'!N55</f>
        <v>0</v>
      </c>
      <c r="K47" s="800"/>
      <c r="L47" s="802">
        <f>Dean_Ed!P53+Ed_Leader!N51+'El_Ed "old"'!P43+'Sec_Ed "old"'!P52+'Spec_Ed, Couns &amp; Stu Affair'!P55</f>
        <v>0</v>
      </c>
      <c r="M47" s="800"/>
      <c r="N47" s="802">
        <f>Dean_Ed!R53+Ed_Leader!P51+'Curriculum &amp; Instruction'!N62+'Spec_Ed, Couns &amp; Stu Affair'!R55</f>
        <v>0</v>
      </c>
      <c r="O47" s="800"/>
      <c r="P47" s="802">
        <f>Dean_Ed!T53+Ed_Leader!R51+'Curriculum &amp; Instruction'!P62+'Spec_Ed, Couns &amp; Stu Affair'!T55</f>
        <v>0</v>
      </c>
      <c r="Q47" s="800"/>
      <c r="R47" s="802">
        <f>Dean_Ed!V53+Ed_Leader!T51+'Curriculum &amp; Instruction'!R62+'Spec_Ed, Couns &amp; Stu Affair'!V55</f>
        <v>0</v>
      </c>
      <c r="S47" s="800"/>
      <c r="T47" s="802">
        <f>Dean_Ed!X53+Ed_Leader!V51+'Curriculum &amp; Instruction'!T62+'Spec_Ed, Couns &amp; Stu Affair'!X55</f>
        <v>0</v>
      </c>
      <c r="U47" s="800"/>
      <c r="V47" s="1021"/>
      <c r="X47" s="601"/>
      <c r="Y47" s="675">
        <f>AVERAGE(L47,T47,R47,P47,N47)</f>
        <v>0</v>
      </c>
    </row>
    <row r="48" spans="1:25" ht="12" x14ac:dyDescent="0.2">
      <c r="B48" s="90" t="s">
        <v>37</v>
      </c>
      <c r="C48" s="311" t="s">
        <v>82</v>
      </c>
      <c r="D48" s="345" t="s">
        <v>88</v>
      </c>
      <c r="E48" s="359" t="s">
        <v>82</v>
      </c>
      <c r="F48" s="359" t="s">
        <v>88</v>
      </c>
      <c r="G48" s="311" t="s">
        <v>82</v>
      </c>
      <c r="H48" s="359" t="s">
        <v>88</v>
      </c>
      <c r="I48" s="311" t="s">
        <v>82</v>
      </c>
      <c r="J48" s="345" t="s">
        <v>88</v>
      </c>
      <c r="K48" s="359" t="s">
        <v>82</v>
      </c>
      <c r="L48" s="345" t="s">
        <v>88</v>
      </c>
      <c r="M48" s="359" t="s">
        <v>82</v>
      </c>
      <c r="N48" s="345" t="s">
        <v>88</v>
      </c>
      <c r="O48" s="359" t="s">
        <v>82</v>
      </c>
      <c r="P48" s="345" t="s">
        <v>88</v>
      </c>
      <c r="Q48" s="359" t="s">
        <v>82</v>
      </c>
      <c r="R48" s="345" t="s">
        <v>88</v>
      </c>
      <c r="S48" s="359" t="s">
        <v>82</v>
      </c>
      <c r="T48" s="345" t="s">
        <v>88</v>
      </c>
      <c r="U48" s="359" t="s">
        <v>82</v>
      </c>
      <c r="V48" s="345" t="s">
        <v>88</v>
      </c>
      <c r="X48" s="633" t="s">
        <v>82</v>
      </c>
      <c r="Y48" s="781" t="s">
        <v>88</v>
      </c>
    </row>
    <row r="49" spans="1:27" ht="12" x14ac:dyDescent="0.2">
      <c r="B49" s="4" t="s">
        <v>93</v>
      </c>
      <c r="C49" s="475">
        <f>Dean_Ed!G55+Ed_Leader!E53+'El_Ed "old"'!G45+'Sec_Ed "old"'!G54+'Spec_Ed, Couns &amp; Stu Affair'!G57</f>
        <v>22</v>
      </c>
      <c r="D49" s="257">
        <f>Dean_Ed!H55+Ed_Leader!F53+'El_Ed "old"'!H45+'Sec_Ed "old"'!H54+'Spec_Ed, Couns &amp; Stu Affair'!H57</f>
        <v>2815595</v>
      </c>
      <c r="E49" s="475">
        <f>Dean_Ed!I55+Ed_Leader!G53+'El_Ed "old"'!I45+'Sec_Ed "old"'!I54+'Spec_Ed, Couns &amp; Stu Affair'!I57</f>
        <v>59</v>
      </c>
      <c r="F49" s="257">
        <f>Dean_Ed!J55+Ed_Leader!H53+'El_Ed "old"'!J45+'Sec_Ed "old"'!J54+'Spec_Ed, Couns &amp; Stu Affair'!J57</f>
        <v>8087047</v>
      </c>
      <c r="G49" s="475">
        <f>Dean_Ed!K55+Ed_Leader!I53+'El_Ed "old"'!K45+'Sec_Ed "old"'!K54+'Spec_Ed, Couns &amp; Stu Affair'!K57</f>
        <v>31</v>
      </c>
      <c r="H49" s="794">
        <f>Dean_Ed!L55+Ed_Leader!J53+'El_Ed "old"'!L45+'Sec_Ed "old"'!L54+'Spec_Ed, Couns &amp; Stu Affair'!L57</f>
        <v>1366910</v>
      </c>
      <c r="I49" s="819">
        <f>Dean_Ed!M55+Ed_Leader!K53+'El_Ed "old"'!M45+'Sec_Ed "old"'!M54+'Spec_Ed, Couns &amp; Stu Affair'!M57</f>
        <v>43</v>
      </c>
      <c r="J49" s="818">
        <f>Dean_Ed!N55+Ed_Leader!L53+'El_Ed "old"'!N45+'Sec_Ed "old"'!N54+'Spec_Ed, Couns &amp; Stu Affair'!N57</f>
        <v>7583798</v>
      </c>
      <c r="K49" s="1078">
        <f>Dean_Ed!O55+Ed_Leader!M53+'El_Ed "old"'!O45+'Sec_Ed "old"'!O54+'Spec_Ed, Couns &amp; Stu Affair'!O57</f>
        <v>27</v>
      </c>
      <c r="L49" s="1079">
        <f>Dean_Ed!P55+Ed_Leader!N53+'El_Ed "old"'!P45+'Sec_Ed "old"'!P54+'Spec_Ed, Couns &amp; Stu Affair'!P57</f>
        <v>2984816</v>
      </c>
      <c r="M49" s="1078">
        <f>Dean_Ed!Q55+'Curriculum &amp; Instruction'!M64+Ed_Leader!O53+'Spec_Ed, Couns &amp; Stu Affair'!Q57</f>
        <v>38</v>
      </c>
      <c r="N49" s="1152">
        <f>Dean_Ed!R55+'Curriculum &amp; Instruction'!N64+Ed_Leader!P53+'Spec_Ed, Couns &amp; Stu Affair'!R57</f>
        <v>10283020</v>
      </c>
      <c r="O49" s="1078">
        <f>Dean_Ed!S55+'Curriculum &amp; Instruction'!O64+Ed_Leader!Q53+'Spec_Ed, Couns &amp; Stu Affair'!S57</f>
        <v>38</v>
      </c>
      <c r="P49" s="1152">
        <f>Dean_Ed!T55+'Curriculum &amp; Instruction'!P64+Ed_Leader!R53+'Spec_Ed, Couns &amp; Stu Affair'!T57</f>
        <v>3508708</v>
      </c>
      <c r="Q49" s="1078">
        <f>Dean_Ed!U55+'Curriculum &amp; Instruction'!Q64+Ed_Leader!S53+'Spec_Ed, Couns &amp; Stu Affair'!U57</f>
        <v>42</v>
      </c>
      <c r="R49" s="1152">
        <f>Dean_Ed!V55+'Curriculum &amp; Instruction'!R64+Ed_Leader!T53+'Spec_Ed, Couns &amp; Stu Affair'!V57</f>
        <v>10211445</v>
      </c>
      <c r="S49" s="1078">
        <f>Dean_Ed!W55+'Curriculum &amp; Instruction'!S64+Ed_Leader!U53+'Spec_Ed, Couns &amp; Stu Affair'!W57</f>
        <v>35</v>
      </c>
      <c r="T49" s="1152">
        <f>Dean_Ed!X55+'Curriculum &amp; Instruction'!T64+Ed_Leader!V53+'Spec_Ed, Couns &amp; Stu Affair'!X57</f>
        <v>6711731</v>
      </c>
      <c r="U49" s="1114"/>
      <c r="V49" s="878"/>
      <c r="W49" s="430"/>
      <c r="X49" s="676">
        <f t="shared" ref="X49" si="9">AVERAGE(U49,S49,Q49,O49,M49)</f>
        <v>38.25</v>
      </c>
      <c r="Y49" s="606">
        <f t="shared" ref="Y49" si="10">AVERAGE(V49,T49,R49,P49,N49)</f>
        <v>7678726</v>
      </c>
    </row>
    <row r="50" spans="1:27" ht="12" hidden="1" x14ac:dyDescent="0.2">
      <c r="B50" s="4" t="s">
        <v>94</v>
      </c>
      <c r="C50" s="401"/>
      <c r="D50" s="400"/>
      <c r="E50" s="401"/>
      <c r="F50" s="316"/>
      <c r="G50" s="401"/>
      <c r="H50" s="316"/>
      <c r="I50" s="401"/>
      <c r="J50" s="820"/>
      <c r="K50" s="314"/>
      <c r="L50" s="879"/>
      <c r="M50" s="314"/>
      <c r="N50" s="1152"/>
      <c r="O50" s="314"/>
      <c r="P50" s="1152"/>
      <c r="Q50" s="314"/>
      <c r="R50" s="1152"/>
      <c r="S50" s="314"/>
      <c r="T50" s="1152"/>
      <c r="U50" s="314"/>
      <c r="V50" s="879"/>
      <c r="W50" s="430"/>
      <c r="X50" s="676"/>
      <c r="Y50" s="606"/>
    </row>
    <row r="51" spans="1:27" thickBot="1" x14ac:dyDescent="0.25">
      <c r="B51" s="19" t="s">
        <v>95</v>
      </c>
      <c r="C51" s="510">
        <f t="shared" ref="C51:L51" si="11">SUM(C49:C50)</f>
        <v>22</v>
      </c>
      <c r="D51" s="411">
        <f t="shared" si="11"/>
        <v>2815595</v>
      </c>
      <c r="E51" s="510">
        <f t="shared" si="11"/>
        <v>59</v>
      </c>
      <c r="F51" s="795">
        <f t="shared" si="11"/>
        <v>8087047</v>
      </c>
      <c r="G51" s="510">
        <f t="shared" si="11"/>
        <v>31</v>
      </c>
      <c r="H51" s="795">
        <f t="shared" si="11"/>
        <v>1366910</v>
      </c>
      <c r="I51" s="473">
        <f t="shared" si="11"/>
        <v>43</v>
      </c>
      <c r="J51" s="821">
        <f t="shared" si="11"/>
        <v>7583798</v>
      </c>
      <c r="K51" s="460">
        <f t="shared" si="11"/>
        <v>27</v>
      </c>
      <c r="L51" s="1080">
        <f t="shared" si="11"/>
        <v>2984816</v>
      </c>
      <c r="M51" s="460">
        <f t="shared" ref="M51:R51" si="12">SUM(M49:M50)</f>
        <v>38</v>
      </c>
      <c r="N51" s="824">
        <f t="shared" si="12"/>
        <v>10283020</v>
      </c>
      <c r="O51" s="460">
        <f t="shared" si="12"/>
        <v>38</v>
      </c>
      <c r="P51" s="824">
        <f t="shared" si="12"/>
        <v>3508708</v>
      </c>
      <c r="Q51" s="460">
        <f t="shared" si="12"/>
        <v>42</v>
      </c>
      <c r="R51" s="824">
        <f t="shared" si="12"/>
        <v>10211445</v>
      </c>
      <c r="S51" s="460">
        <f t="shared" ref="S51:T51" si="13">SUM(S49:S50)</f>
        <v>35</v>
      </c>
      <c r="T51" s="824">
        <f t="shared" si="13"/>
        <v>6711731</v>
      </c>
      <c r="U51" s="993"/>
      <c r="V51" s="880"/>
      <c r="W51" s="430"/>
      <c r="X51" s="676">
        <f t="shared" ref="X51" si="14">AVERAGE(U51,S51,Q51,O51,M51)</f>
        <v>38.25</v>
      </c>
      <c r="Y51" s="606">
        <f t="shared" ref="Y51" si="15">AVERAGE(V51,T51,R51,P51,N51)</f>
        <v>7678726</v>
      </c>
    </row>
    <row r="52" spans="1:27" ht="12" x14ac:dyDescent="0.2">
      <c r="B52" s="511" t="s">
        <v>16</v>
      </c>
      <c r="C52" s="311"/>
      <c r="D52" s="345"/>
      <c r="E52" s="359"/>
      <c r="F52" s="359"/>
      <c r="G52" s="311"/>
      <c r="H52" s="359"/>
      <c r="I52" s="311"/>
      <c r="J52" s="345"/>
      <c r="K52" s="359"/>
      <c r="L52" s="345"/>
      <c r="M52" s="359"/>
      <c r="N52" s="1153"/>
      <c r="O52" s="359"/>
      <c r="P52" s="1153"/>
      <c r="Q52" s="359"/>
      <c r="R52" s="1153"/>
      <c r="S52" s="359"/>
      <c r="T52" s="1153"/>
      <c r="U52" s="359"/>
      <c r="V52" s="345"/>
      <c r="W52" s="430"/>
      <c r="X52" s="676"/>
      <c r="Y52" s="606"/>
    </row>
    <row r="53" spans="1:27" ht="11.45" customHeight="1" x14ac:dyDescent="0.2">
      <c r="B53" s="16" t="s">
        <v>93</v>
      </c>
      <c r="C53" s="796">
        <f>Dean_Ed!G57+Ed_Leader!E55+'El_Ed "old"'!G47+'Sec_Ed "old"'!G56+'Spec_Ed, Couns &amp; Stu Affair'!G59</f>
        <v>28</v>
      </c>
      <c r="D53" s="312">
        <f>Dean_Ed!H57+Ed_Leader!F55+'El_Ed "old"'!H47+'Sec_Ed "old"'!H56+'Spec_Ed, Couns &amp; Stu Affair'!H59</f>
        <v>6738456</v>
      </c>
      <c r="E53" s="796">
        <f>Dean_Ed!I57+Ed_Leader!G55+'El_Ed "old"'!I47+'Sec_Ed "old"'!I56+'Spec_Ed, Couns &amp; Stu Affair'!I59</f>
        <v>44</v>
      </c>
      <c r="F53" s="312">
        <f>Dean_Ed!J57+Ed_Leader!H55+'El_Ed "old"'!J47+'Sec_Ed "old"'!J56+'Spec_Ed, Couns &amp; Stu Affair'!J59</f>
        <v>7709083</v>
      </c>
      <c r="G53" s="796">
        <f>Dean_Ed!K57+Ed_Leader!I55+'El_Ed "old"'!K47+'Sec_Ed "old"'!K56+'Spec_Ed, Couns &amp; Stu Affair'!K59</f>
        <v>39</v>
      </c>
      <c r="H53" s="312">
        <f>Dean_Ed!L57+Ed_Leader!J55+'El_Ed "old"'!L47+'Sec_Ed "old"'!L56+'Spec_Ed, Couns &amp; Stu Affair'!L59</f>
        <v>6494966</v>
      </c>
      <c r="I53" s="816">
        <f>Dean_Ed!M57+Ed_Leader!K55+'El_Ed "old"'!M47+'Sec_Ed "old"'!M56+'Spec_Ed, Couns &amp; Stu Affair'!M59</f>
        <v>27</v>
      </c>
      <c r="J53" s="817">
        <f>Dean_Ed!N57+Ed_Leader!L55+'El_Ed "old"'!N47+'Sec_Ed "old"'!N56+'Spec_Ed, Couns &amp; Stu Affair'!N59</f>
        <v>5570261</v>
      </c>
      <c r="K53" s="1081">
        <f>Dean_Ed!O57+Ed_Leader!M55+'El_Ed "old"'!O47+'Sec_Ed "old"'!O56+'Spec_Ed, Couns &amp; Stu Affair'!O59</f>
        <v>36</v>
      </c>
      <c r="L53" s="817">
        <f>Dean_Ed!P57+Ed_Leader!N55+'El_Ed "old"'!P47+'Sec_Ed "old"'!P56+'Spec_Ed, Couns &amp; Stu Affair'!P59</f>
        <v>6577896</v>
      </c>
      <c r="M53" s="1081">
        <f>Dean_Ed!Q57+'Curriculum &amp; Instruction'!M66+Ed_Leader!O55+'Spec_Ed, Couns &amp; Stu Affair'!Q59</f>
        <v>31</v>
      </c>
      <c r="N53" s="820">
        <f>Dean_Ed!R57+'Curriculum &amp; Instruction'!N66+Ed_Leader!P55+'Spec_Ed, Couns &amp; Stu Affair'!R59</f>
        <v>3788316</v>
      </c>
      <c r="O53" s="1081">
        <f>Dean_Ed!S57+'Curriculum &amp; Instruction'!O66+Ed_Leader!Q55+'Spec_Ed, Couns &amp; Stu Affair'!S59</f>
        <v>31</v>
      </c>
      <c r="P53" s="820">
        <f>Dean_Ed!T57+'Curriculum &amp; Instruction'!P66+Ed_Leader!R55+'Spec_Ed, Couns &amp; Stu Affair'!T59</f>
        <v>5748958</v>
      </c>
      <c r="Q53" s="1081">
        <f>Dean_Ed!U57+'Curriculum &amp; Instruction'!Q66+Ed_Leader!S55+'Spec_Ed, Couns &amp; Stu Affair'!U59</f>
        <v>29</v>
      </c>
      <c r="R53" s="820">
        <f>Dean_Ed!V57+'Curriculum &amp; Instruction'!R66+Ed_Leader!T55+'Spec_Ed, Couns &amp; Stu Affair'!V59</f>
        <v>4951397</v>
      </c>
      <c r="S53" s="1081">
        <f>Dean_Ed!W57+'Curriculum &amp; Instruction'!S66+Ed_Leader!U55+'Spec_Ed, Couns &amp; Stu Affair'!W59</f>
        <v>29</v>
      </c>
      <c r="T53" s="820">
        <f>Dean_Ed!X57+'Curriculum &amp; Instruction'!T66+Ed_Leader!V55+'Spec_Ed, Couns &amp; Stu Affair'!X59</f>
        <v>4960142</v>
      </c>
      <c r="U53" s="1115"/>
      <c r="V53" s="805"/>
      <c r="W53" s="430"/>
      <c r="X53" s="676">
        <f t="shared" ref="X53:X55" si="16">AVERAGE(U53,S53,Q53,O53,M53)</f>
        <v>30</v>
      </c>
      <c r="Y53" s="606">
        <f t="shared" ref="Y53" si="17">AVERAGE(V53,T53,R53,P53,N53)</f>
        <v>4862203.25</v>
      </c>
      <c r="AA53" s="1" t="s">
        <v>20</v>
      </c>
    </row>
    <row r="54" spans="1:27" ht="11.45" hidden="1" customHeight="1" x14ac:dyDescent="0.2">
      <c r="B54" s="4" t="s">
        <v>94</v>
      </c>
      <c r="C54" s="467"/>
      <c r="D54" s="347"/>
      <c r="E54" s="401"/>
      <c r="F54" s="380"/>
      <c r="G54" s="401"/>
      <c r="H54" s="380"/>
      <c r="I54" s="235"/>
      <c r="J54" s="347"/>
      <c r="K54" s="218"/>
      <c r="L54" s="347"/>
      <c r="M54" s="218"/>
      <c r="N54" s="823"/>
      <c r="O54" s="218"/>
      <c r="P54" s="823"/>
      <c r="Q54" s="218"/>
      <c r="R54" s="823"/>
      <c r="S54" s="218"/>
      <c r="T54" s="823"/>
      <c r="U54" s="218"/>
      <c r="V54" s="347"/>
      <c r="W54" s="430"/>
      <c r="X54" s="676"/>
      <c r="Y54" s="606"/>
    </row>
    <row r="55" spans="1:27" thickBot="1" x14ac:dyDescent="0.25">
      <c r="B55" s="86" t="s">
        <v>96</v>
      </c>
      <c r="C55" s="797">
        <f t="shared" ref="C55:L55" si="18">SUM(C53:C54)</f>
        <v>28</v>
      </c>
      <c r="D55" s="402">
        <f t="shared" si="18"/>
        <v>6738456</v>
      </c>
      <c r="E55" s="475">
        <f t="shared" si="18"/>
        <v>44</v>
      </c>
      <c r="F55" s="68">
        <f t="shared" si="18"/>
        <v>7709083</v>
      </c>
      <c r="G55" s="475">
        <f t="shared" si="18"/>
        <v>39</v>
      </c>
      <c r="H55" s="68">
        <f t="shared" si="18"/>
        <v>6494966</v>
      </c>
      <c r="I55" s="797">
        <f t="shared" si="18"/>
        <v>27</v>
      </c>
      <c r="J55" s="402">
        <f t="shared" si="18"/>
        <v>5570261</v>
      </c>
      <c r="K55" s="1082">
        <f t="shared" si="18"/>
        <v>36</v>
      </c>
      <c r="L55" s="402">
        <f t="shared" si="18"/>
        <v>6577896</v>
      </c>
      <c r="M55" s="1082">
        <f t="shared" ref="M55:R55" si="19">SUM(M53:M54)</f>
        <v>31</v>
      </c>
      <c r="N55" s="824">
        <f t="shared" si="19"/>
        <v>3788316</v>
      </c>
      <c r="O55" s="1082">
        <f t="shared" si="19"/>
        <v>31</v>
      </c>
      <c r="P55" s="824">
        <f t="shared" si="19"/>
        <v>5748958</v>
      </c>
      <c r="Q55" s="1082">
        <f t="shared" si="19"/>
        <v>29</v>
      </c>
      <c r="R55" s="824">
        <f t="shared" si="19"/>
        <v>4951397</v>
      </c>
      <c r="S55" s="1082">
        <f t="shared" ref="S55:T55" si="20">SUM(S53:S54)</f>
        <v>29</v>
      </c>
      <c r="T55" s="824">
        <f t="shared" si="20"/>
        <v>4960142</v>
      </c>
      <c r="U55" s="1116"/>
      <c r="V55" s="881"/>
      <c r="W55" s="430"/>
      <c r="X55" s="676">
        <f t="shared" si="16"/>
        <v>30</v>
      </c>
      <c r="Y55" s="606">
        <f>AVERAGE(V55,T55,R55,P55,N55)</f>
        <v>4862203.25</v>
      </c>
    </row>
    <row r="56" spans="1:27" ht="12" x14ac:dyDescent="0.2">
      <c r="B56" s="278" t="s">
        <v>59</v>
      </c>
      <c r="C56" s="261"/>
      <c r="D56" s="348"/>
      <c r="E56" s="219"/>
      <c r="F56" s="381"/>
      <c r="G56" s="261"/>
      <c r="H56" s="381"/>
      <c r="I56" s="261"/>
      <c r="J56" s="348"/>
      <c r="K56" s="219"/>
      <c r="L56" s="348"/>
      <c r="M56" s="219"/>
      <c r="N56" s="348"/>
      <c r="O56" s="219"/>
      <c r="P56" s="348"/>
      <c r="Q56" s="219"/>
      <c r="R56" s="348"/>
      <c r="S56" s="219"/>
      <c r="T56" s="348"/>
      <c r="U56" s="219"/>
      <c r="V56" s="348"/>
      <c r="X56" s="595"/>
      <c r="Y56" s="596"/>
    </row>
    <row r="57" spans="1:27" ht="6.75" customHeight="1" x14ac:dyDescent="0.2">
      <c r="B57" s="280" t="s">
        <v>60</v>
      </c>
      <c r="C57" s="262"/>
      <c r="D57" s="349"/>
      <c r="E57" s="220"/>
      <c r="F57" s="137"/>
      <c r="G57" s="262"/>
      <c r="H57" s="137"/>
      <c r="I57" s="262"/>
      <c r="J57" s="349"/>
      <c r="K57" s="220"/>
      <c r="L57" s="349"/>
      <c r="M57" s="220"/>
      <c r="N57" s="349"/>
      <c r="O57" s="220"/>
      <c r="P57" s="349"/>
      <c r="Q57" s="220"/>
      <c r="R57" s="349"/>
      <c r="S57" s="220"/>
      <c r="T57" s="349"/>
      <c r="U57" s="220"/>
      <c r="V57" s="349"/>
      <c r="X57" s="599"/>
      <c r="Y57" s="609"/>
    </row>
    <row r="58" spans="1:27" ht="12" x14ac:dyDescent="0.2">
      <c r="B58" s="281" t="s">
        <v>91</v>
      </c>
      <c r="C58" s="263"/>
      <c r="D58" s="156">
        <f>Dean_Ed!H60+Ed_Leader!F58+'El_Ed "old"'!H50+'Sec_Ed "old"'!H59+'Spec_Ed, Couns &amp; Stu Affair'!H62</f>
        <v>1993265.4900000002</v>
      </c>
      <c r="E58" s="364"/>
      <c r="F58" s="156">
        <f>Dean_Ed!J60+Ed_Leader!H58+'El_Ed "old"'!J50+'Sec_Ed "old"'!J59+'Spec_Ed, Couns &amp; Stu Affair'!J62-51257.64</f>
        <v>493711.27</v>
      </c>
      <c r="G58" s="398" t="s">
        <v>20</v>
      </c>
      <c r="H58" s="156">
        <f>Dean_Ed!L60+Ed_Leader!J58+'El_Ed "old"'!L50+'Sec_Ed "old"'!L59+'Spec_Ed, Couns &amp; Stu Affair'!L62-4794526.14</f>
        <v>426084.29000000004</v>
      </c>
      <c r="I58" s="398"/>
      <c r="J58" s="403">
        <f>Dean_Ed!N60+Ed_Leader!L58+'El_Ed "old"'!N50+'Sec_Ed "old"'!N59+'Spec_Ed, Couns &amp; Stu Affair'!N62-3355947.19</f>
        <v>334653.81000000006</v>
      </c>
      <c r="K58" s="364"/>
      <c r="L58" s="403">
        <f>Dean_Ed!P60+Ed_Leader!N58+'Curriculum &amp; Instruction'!L68+'Spec_Ed, Couns &amp; Stu Affair'!P62-1683790.57</f>
        <v>362362.99</v>
      </c>
      <c r="M58" s="364"/>
      <c r="N58" s="403">
        <f>Dean_Ed!R60+Ed_Leader!P58+'Curriculum &amp; Instruction'!N68+'Spec_Ed, Couns &amp; Stu Affair'!R62-34416.05</f>
        <v>334576.01</v>
      </c>
      <c r="O58" s="364"/>
      <c r="P58" s="403">
        <f>Dean_Ed!T60+Ed_Leader!R58+'Curriculum &amp; Instruction'!P68+'Spec_Ed, Couns &amp; Stu Affair'!T62</f>
        <v>1174728.19</v>
      </c>
      <c r="Q58" s="364"/>
      <c r="R58" s="403">
        <f>Dean_Ed!V60+Ed_Leader!T58+'Curriculum &amp; Instruction'!R68+'Spec_Ed, Couns &amp; Stu Affair'!V62</f>
        <v>1427941.31</v>
      </c>
      <c r="S58" s="364"/>
      <c r="T58" s="403">
        <f>Dean_Ed!X60+Ed_Leader!V58+'Curriculum &amp; Instruction'!T68+'Spec_Ed, Couns &amp; Stu Affair'!X62</f>
        <v>841482.57000000007</v>
      </c>
      <c r="U58" s="364"/>
      <c r="V58" s="882"/>
      <c r="X58" s="599"/>
      <c r="Y58" s="606">
        <f t="shared" ref="Y58:Y59" si="21">AVERAGE(L58,T58,R58,P58,N58)</f>
        <v>828218.21400000004</v>
      </c>
    </row>
    <row r="59" spans="1:27" thickBot="1" x14ac:dyDescent="0.25">
      <c r="B59" s="282" t="s">
        <v>90</v>
      </c>
      <c r="C59" s="264"/>
      <c r="D59" s="158">
        <f>Dean_Ed!H61+Ed_Leader!F59+'El_Ed "old"'!H51+'Sec_Ed "old"'!H60+'Spec_Ed, Couns &amp; Stu Affair'!H63</f>
        <v>1294367.8999999999</v>
      </c>
      <c r="E59" s="365"/>
      <c r="F59" s="158">
        <f>Dean_Ed!J61+Ed_Leader!H59+'El_Ed "old"'!J51+'Sec_Ed "old"'!J60+'Spec_Ed, Couns &amp; Stu Affair'!J63</f>
        <v>1422123.26</v>
      </c>
      <c r="G59" s="399"/>
      <c r="H59" s="158">
        <f>Dean_Ed!L61+Ed_Leader!J59+'El_Ed "old"'!L51+'Sec_Ed "old"'!L60+'Spec_Ed, Couns &amp; Stu Affair'!L63</f>
        <v>1418899.34</v>
      </c>
      <c r="I59" s="399"/>
      <c r="J59" s="827">
        <f>Dean_Ed!N61+Ed_Leader!L59+'El_Ed "old"'!N51+'Sec_Ed "old"'!N60+'Spec_Ed, Couns &amp; Stu Affair'!N63</f>
        <v>1132964.6599999999</v>
      </c>
      <c r="K59" s="399"/>
      <c r="L59" s="827">
        <f>Dean_Ed!P61+Ed_Leader!N59+'Curriculum &amp; Instruction'!L69+'Spec_Ed, Couns &amp; Stu Affair'!P63</f>
        <v>1210627</v>
      </c>
      <c r="M59" s="365"/>
      <c r="N59" s="827">
        <f>Dean_Ed!R61+Ed_Leader!P59+'Curriculum &amp; Instruction'!N69+'Spec_Ed, Couns &amp; Stu Affair'!R63</f>
        <v>1375215.52</v>
      </c>
      <c r="O59" s="365"/>
      <c r="P59" s="827">
        <f>Dean_Ed!T61+Ed_Leader!R59+'Curriculum &amp; Instruction'!P69+'Spec_Ed, Couns &amp; Stu Affair'!T63</f>
        <v>1326651.68</v>
      </c>
      <c r="Q59" s="365"/>
      <c r="R59" s="827">
        <f>Dean_Ed!V61+Ed_Leader!T59+'Curriculum &amp; Instruction'!R69+'Spec_Ed, Couns &amp; Stu Affair'!V63</f>
        <v>1424110.88</v>
      </c>
      <c r="S59" s="365"/>
      <c r="T59" s="827">
        <f>Dean_Ed!X61+Ed_Leader!V59+'Curriculum &amp; Instruction'!T69+'Spec_Ed, Couns &amp; Stu Affair'!X63</f>
        <v>1606386.68</v>
      </c>
      <c r="U59" s="365"/>
      <c r="V59" s="883"/>
      <c r="X59" s="600"/>
      <c r="Y59" s="606">
        <f t="shared" si="21"/>
        <v>1388598.352</v>
      </c>
    </row>
    <row r="60" spans="1:27" ht="14.25" customHeight="1" thickTop="1" x14ac:dyDescent="0.2">
      <c r="B60" s="269" t="s">
        <v>92</v>
      </c>
      <c r="C60" s="220"/>
      <c r="D60" s="137"/>
      <c r="E60" s="220"/>
      <c r="F60" s="137"/>
      <c r="G60" s="220"/>
      <c r="H60" s="137"/>
      <c r="I60" s="220"/>
      <c r="J60" s="137"/>
      <c r="K60" s="220"/>
      <c r="L60" s="137"/>
      <c r="M60" s="220"/>
      <c r="N60" s="137"/>
      <c r="O60" s="220"/>
      <c r="P60" s="137"/>
      <c r="Q60" s="220"/>
      <c r="R60" s="137"/>
      <c r="S60" s="220"/>
      <c r="T60" s="137"/>
      <c r="U60" s="220"/>
      <c r="V60" s="137"/>
      <c r="Y60" s="627"/>
    </row>
    <row r="61" spans="1:27" ht="14.25" customHeight="1" x14ac:dyDescent="0.2">
      <c r="B61" s="269"/>
      <c r="C61" s="220"/>
      <c r="D61" s="137"/>
      <c r="E61" s="220"/>
      <c r="F61" s="137"/>
      <c r="G61" s="220"/>
      <c r="H61" s="137"/>
      <c r="I61" s="220"/>
      <c r="J61" s="137"/>
      <c r="K61" s="220"/>
      <c r="L61" s="137"/>
      <c r="M61" s="220"/>
      <c r="N61" s="137"/>
      <c r="O61" s="220"/>
      <c r="P61" s="137"/>
      <c r="Q61" s="220"/>
      <c r="R61" s="137"/>
      <c r="S61" s="220"/>
      <c r="T61" s="137"/>
      <c r="U61" s="220"/>
      <c r="V61" s="137"/>
      <c r="Y61" s="22"/>
      <c r="Z61" s="1" t="s">
        <v>20</v>
      </c>
    </row>
    <row r="62" spans="1:27" x14ac:dyDescent="0.2">
      <c r="A62" s="3" t="s">
        <v>55</v>
      </c>
      <c r="B62" s="82"/>
      <c r="C62" s="220"/>
      <c r="D62" s="216"/>
      <c r="E62" s="220"/>
      <c r="F62" s="216"/>
      <c r="G62" s="220"/>
      <c r="H62" s="216"/>
      <c r="I62" s="220"/>
      <c r="J62" s="216"/>
      <c r="K62" s="220"/>
      <c r="L62" s="216"/>
      <c r="M62" s="220"/>
      <c r="N62" s="216"/>
      <c r="O62" s="220"/>
      <c r="P62" s="216"/>
      <c r="Q62" s="220"/>
      <c r="R62" s="216"/>
      <c r="S62" s="220"/>
      <c r="T62" s="216"/>
      <c r="U62" s="220"/>
      <c r="V62" s="216"/>
    </row>
    <row r="63" spans="1:27" ht="8.25" customHeight="1" thickBot="1" x14ac:dyDescent="0.25">
      <c r="B63" s="82"/>
      <c r="C63" s="220"/>
      <c r="D63" s="216"/>
      <c r="E63" s="220"/>
      <c r="F63" s="216"/>
      <c r="G63" s="220"/>
      <c r="H63" s="216"/>
      <c r="I63" s="220"/>
      <c r="J63" s="216"/>
      <c r="K63" s="220"/>
      <c r="L63" s="216"/>
      <c r="M63" s="220"/>
      <c r="N63" s="216"/>
      <c r="O63" s="220"/>
      <c r="P63" s="216"/>
      <c r="Q63" s="220"/>
      <c r="R63" s="216"/>
      <c r="S63" s="220"/>
      <c r="T63" s="216"/>
      <c r="U63" s="220"/>
      <c r="V63" s="216"/>
    </row>
    <row r="64" spans="1:27" ht="14.25" thickTop="1" thickBot="1" x14ac:dyDescent="0.25">
      <c r="B64" s="270"/>
      <c r="C64" s="1231" t="s">
        <v>89</v>
      </c>
      <c r="D64" s="1282"/>
      <c r="E64" s="1220" t="s">
        <v>99</v>
      </c>
      <c r="F64" s="1364"/>
      <c r="G64" s="1231" t="s">
        <v>101</v>
      </c>
      <c r="H64" s="1364"/>
      <c r="I64" s="1231" t="s">
        <v>106</v>
      </c>
      <c r="J64" s="1282"/>
      <c r="K64" s="1220" t="s">
        <v>155</v>
      </c>
      <c r="L64" s="1282"/>
      <c r="M64" s="1220" t="s">
        <v>160</v>
      </c>
      <c r="N64" s="1282"/>
      <c r="O64" s="1220" t="s">
        <v>179</v>
      </c>
      <c r="P64" s="1282"/>
      <c r="Q64" s="1220" t="s">
        <v>189</v>
      </c>
      <c r="R64" s="1282"/>
      <c r="S64" s="1220" t="s">
        <v>194</v>
      </c>
      <c r="T64" s="1282"/>
      <c r="U64" s="1220" t="s">
        <v>198</v>
      </c>
      <c r="V64" s="1282"/>
      <c r="X64" s="1250" t="s">
        <v>142</v>
      </c>
      <c r="Y64" s="1251"/>
    </row>
    <row r="65" spans="2:26" ht="12" x14ac:dyDescent="0.2">
      <c r="B65" s="45" t="s">
        <v>33</v>
      </c>
      <c r="C65" s="229"/>
      <c r="D65" s="339"/>
      <c r="E65" s="207"/>
      <c r="F65" s="207"/>
      <c r="G65" s="229"/>
      <c r="H65" s="207"/>
      <c r="I65" s="229"/>
      <c r="J65" s="339"/>
      <c r="K65" s="207"/>
      <c r="L65" s="339"/>
      <c r="M65" s="207"/>
      <c r="N65" s="339"/>
      <c r="O65" s="207"/>
      <c r="P65" s="339"/>
      <c r="Q65" s="207"/>
      <c r="R65" s="339"/>
      <c r="S65" s="207"/>
      <c r="T65" s="339"/>
      <c r="U65" s="207"/>
      <c r="V65" s="339"/>
      <c r="X65" s="484"/>
      <c r="Y65" s="607"/>
    </row>
    <row r="66" spans="2:26" ht="12" x14ac:dyDescent="0.2">
      <c r="B66" s="46" t="s">
        <v>34</v>
      </c>
      <c r="C66" s="228"/>
      <c r="D66" s="340"/>
      <c r="E66" s="208"/>
      <c r="F66" s="313"/>
      <c r="G66" s="228"/>
      <c r="H66" s="313"/>
      <c r="I66" s="228"/>
      <c r="J66" s="340"/>
      <c r="K66" s="208"/>
      <c r="L66" s="340"/>
      <c r="M66" s="208"/>
      <c r="N66" s="340"/>
      <c r="O66" s="208"/>
      <c r="P66" s="340"/>
      <c r="Q66" s="208"/>
      <c r="R66" s="340"/>
      <c r="S66" s="208"/>
      <c r="T66" s="340"/>
      <c r="U66" s="208"/>
      <c r="V66" s="340"/>
      <c r="X66" s="599"/>
      <c r="Y66" s="609"/>
    </row>
    <row r="67" spans="2:26" ht="12" x14ac:dyDescent="0.2">
      <c r="B67" s="47" t="s">
        <v>35</v>
      </c>
      <c r="C67" s="228"/>
      <c r="D67" s="116">
        <f>Dean_Ed!H68+Ed_Leader!F65+'El_Ed "old"'!H58+'Sec_Ed "old"'!H67+'Spec_Ed, Couns &amp; Stu Affair'!H70</f>
        <v>72</v>
      </c>
      <c r="E67" s="228"/>
      <c r="F67" s="116">
        <f>Dean_Ed!J68+Ed_Leader!H65+'El_Ed "old"'!J58+'Sec_Ed "old"'!J67+'Spec_Ed, Couns &amp; Stu Affair'!J70</f>
        <v>66</v>
      </c>
      <c r="G67" s="228"/>
      <c r="H67" s="313">
        <f>Dean_Ed!L68+Ed_Leader!J65+'El_Ed "old"'!L58+'Sec_Ed "old"'!L67+'Spec_Ed, Couns &amp; Stu Affair'!L70</f>
        <v>66</v>
      </c>
      <c r="I67" s="228"/>
      <c r="J67" s="340">
        <f>Dean_Ed!N68+Ed_Leader!L65+'El_Ed "old"'!N58+'Sec_Ed "old"'!N67+'Spec_Ed, Couns &amp; Stu Affair'!N70</f>
        <v>54</v>
      </c>
      <c r="K67" s="208"/>
      <c r="L67" s="340">
        <f>Dean_Ed!P68+Ed_Leader!N65+'El_Ed "old"'!P58+'Sec_Ed "old"'!P67+'Spec_Ed, Couns &amp; Stu Affair'!P70</f>
        <v>51</v>
      </c>
      <c r="M67" s="208"/>
      <c r="N67" s="340">
        <f>Dean_Ed!R68+Ed_Leader!P65+'Curriculum &amp; Instruction'!N76+'Spec_Ed, Couns &amp; Stu Affair'!R70</f>
        <v>48</v>
      </c>
      <c r="O67" s="208"/>
      <c r="P67" s="340">
        <f>Dean_Ed!T68+Ed_Leader!R65+'Curriculum &amp; Instruction'!P76+'Spec_Ed, Couns &amp; Stu Affair'!T70</f>
        <v>50</v>
      </c>
      <c r="Q67" s="208"/>
      <c r="R67" s="340">
        <f>Dean_Ed!V68+Ed_Leader!T65+'Curriculum &amp; Instruction'!R76+'Spec_Ed, Couns &amp; Stu Affair'!V70</f>
        <v>59</v>
      </c>
      <c r="S67" s="208"/>
      <c r="T67" s="340">
        <f>Dean_Ed!X68+Ed_Leader!V65+'Curriculum &amp; Instruction'!T76+'Spec_Ed, Couns &amp; Stu Affair'!X70</f>
        <v>67</v>
      </c>
      <c r="U67" s="208"/>
      <c r="V67" s="340">
        <f>Dean_Ed!Z68+Ed_Leader!X65+'Curriculum &amp; Instruction'!V76+'Spec_Ed, Couns &amp; Stu Affair'!Z70</f>
        <v>71</v>
      </c>
      <c r="X67" s="599"/>
      <c r="Y67" s="631">
        <f t="shared" ref="Y67:Y68" si="22">AVERAGE(V67,T67,R67,P67,N67)</f>
        <v>59</v>
      </c>
    </row>
    <row r="68" spans="2:26" ht="12" x14ac:dyDescent="0.2">
      <c r="B68" s="47" t="s">
        <v>139</v>
      </c>
      <c r="C68" s="228"/>
      <c r="D68" s="116">
        <f>Dean_Ed!H69+Ed_Leader!F66+'El_Ed "old"'!H59+'Sec_Ed "old"'!H68+'Spec_Ed, Couns &amp; Stu Affair'!H71</f>
        <v>21</v>
      </c>
      <c r="E68" s="228"/>
      <c r="F68" s="116">
        <f>Dean_Ed!J69+Ed_Leader!H66+'El_Ed "old"'!J59+'Sec_Ed "old"'!J68+'Spec_Ed, Couns &amp; Stu Affair'!J71</f>
        <v>22</v>
      </c>
      <c r="G68" s="228"/>
      <c r="H68" s="313">
        <f>Dean_Ed!L69+Ed_Leader!J66+'El_Ed "old"'!L59+'Sec_Ed "old"'!L68+'Spec_Ed, Couns &amp; Stu Affair'!L71</f>
        <v>28</v>
      </c>
      <c r="I68" s="228"/>
      <c r="J68" s="340">
        <f>Dean_Ed!N69+Ed_Leader!L66+'El_Ed "old"'!N59+'Sec_Ed "old"'!N68+'Spec_Ed, Couns &amp; Stu Affair'!N71</f>
        <v>30</v>
      </c>
      <c r="K68" s="208"/>
      <c r="L68" s="340">
        <f>Dean_Ed!P69+Ed_Leader!N66+'El_Ed "old"'!P59+'Sec_Ed "old"'!P68+'Spec_Ed, Couns &amp; Stu Affair'!P71</f>
        <v>33</v>
      </c>
      <c r="M68" s="208"/>
      <c r="N68" s="340">
        <f>Dean_Ed!R69+Ed_Leader!P66+'Curriculum &amp; Instruction'!N77+'Spec_Ed, Couns &amp; Stu Affair'!R71</f>
        <v>33</v>
      </c>
      <c r="O68" s="208"/>
      <c r="P68" s="340">
        <f>Dean_Ed!T69+Ed_Leader!R66+'Curriculum &amp; Instruction'!P77+'Spec_Ed, Couns &amp; Stu Affair'!T71</f>
        <v>39</v>
      </c>
      <c r="Q68" s="208"/>
      <c r="R68" s="340">
        <f>Dean_Ed!V69+Ed_Leader!T66+'Curriculum &amp; Instruction'!R77+'Spec_Ed, Couns &amp; Stu Affair'!V71</f>
        <v>38</v>
      </c>
      <c r="S68" s="208"/>
      <c r="T68" s="340">
        <f>Dean_Ed!X69+Ed_Leader!V66+'Curriculum &amp; Instruction'!T77+'Spec_Ed, Couns &amp; Stu Affair'!X71</f>
        <v>42</v>
      </c>
      <c r="U68" s="208"/>
      <c r="V68" s="340">
        <f>Dean_Ed!Z69+Ed_Leader!X66+'Curriculum &amp; Instruction'!V77+'Spec_Ed, Couns &amp; Stu Affair'!Z71</f>
        <v>43</v>
      </c>
      <c r="X68" s="599"/>
      <c r="Y68" s="631">
        <f t="shared" si="22"/>
        <v>39</v>
      </c>
    </row>
    <row r="69" spans="2:26" ht="12" x14ac:dyDescent="0.2">
      <c r="B69" s="46" t="s">
        <v>36</v>
      </c>
      <c r="C69" s="228"/>
      <c r="D69" s="341"/>
      <c r="E69" s="208"/>
      <c r="F69" s="384"/>
      <c r="G69" s="228"/>
      <c r="H69" s="313"/>
      <c r="I69" s="228"/>
      <c r="J69" s="340"/>
      <c r="K69" s="208"/>
      <c r="L69" s="340"/>
      <c r="M69" s="208"/>
      <c r="N69" s="340">
        <f>Dean_Ed!R70+Ed_Leader!P67+'Curriculum &amp; Instruction'!N78+'Spec_Ed, Couns &amp; Stu Affair'!R72</f>
        <v>0</v>
      </c>
      <c r="O69" s="208"/>
      <c r="P69" s="340">
        <f>Dean_Ed!T70+Ed_Leader!R67+'Curriculum &amp; Instruction'!P78+'Spec_Ed, Couns &amp; Stu Affair'!T72</f>
        <v>0</v>
      </c>
      <c r="Q69" s="208"/>
      <c r="R69" s="340"/>
      <c r="S69" s="208"/>
      <c r="T69" s="340"/>
      <c r="U69" s="208"/>
      <c r="V69" s="340"/>
      <c r="X69" s="599"/>
      <c r="Y69" s="631"/>
    </row>
    <row r="70" spans="2:26" ht="12" x14ac:dyDescent="0.2">
      <c r="B70" s="47" t="s">
        <v>35</v>
      </c>
      <c r="C70" s="228"/>
      <c r="D70" s="116">
        <f>Dean_Ed!H71+Ed_Leader!F68+'El_Ed "old"'!H61+'Sec_Ed "old"'!H70+'Spec_Ed, Couns &amp; Stu Affair'!H73</f>
        <v>5</v>
      </c>
      <c r="E70" s="228"/>
      <c r="F70" s="116">
        <f>Dean_Ed!J71+Ed_Leader!H68+'El_Ed "old"'!J61+'Sec_Ed "old"'!J70+'Spec_Ed, Couns &amp; Stu Affair'!J73</f>
        <v>5</v>
      </c>
      <c r="G70" s="228"/>
      <c r="H70" s="313">
        <f>Dean_Ed!L71+Ed_Leader!J68+'El_Ed "old"'!L61+'Sec_Ed "old"'!L70+'Spec_Ed, Couns &amp; Stu Affair'!L73</f>
        <v>4</v>
      </c>
      <c r="I70" s="228"/>
      <c r="J70" s="340">
        <f>Dean_Ed!N71+Ed_Leader!L68+'El_Ed "old"'!N61+'Sec_Ed "old"'!N70+'Spec_Ed, Couns &amp; Stu Affair'!N73</f>
        <v>5</v>
      </c>
      <c r="K70" s="208"/>
      <c r="L70" s="340">
        <f>Dean_Ed!P71+Ed_Leader!N68+'El_Ed "old"'!P61+'Sec_Ed "old"'!P70+'Spec_Ed, Couns &amp; Stu Affair'!P73</f>
        <v>6</v>
      </c>
      <c r="M70" s="208"/>
      <c r="N70" s="340">
        <f>Dean_Ed!R71+Ed_Leader!P68+'Curriculum &amp; Instruction'!N79+'Spec_Ed, Couns &amp; Stu Affair'!R73</f>
        <v>5</v>
      </c>
      <c r="O70" s="208"/>
      <c r="P70" s="340">
        <f>Dean_Ed!T71+Ed_Leader!R68+'Curriculum &amp; Instruction'!P79+'Spec_Ed, Couns &amp; Stu Affair'!T73</f>
        <v>3</v>
      </c>
      <c r="Q70" s="208"/>
      <c r="R70" s="340">
        <f>Dean_Ed!V71+Ed_Leader!T68+'Curriculum &amp; Instruction'!R79+'Spec_Ed, Couns &amp; Stu Affair'!V73</f>
        <v>3</v>
      </c>
      <c r="S70" s="208"/>
      <c r="T70" s="340">
        <f>Dean_Ed!X71+Ed_Leader!V68+'Curriculum &amp; Instruction'!T79+'Spec_Ed, Couns &amp; Stu Affair'!X73</f>
        <v>3</v>
      </c>
      <c r="U70" s="208"/>
      <c r="V70" s="340">
        <f>Dean_Ed!Z71+Ed_Leader!X68+'Curriculum &amp; Instruction'!V79+'Spec_Ed, Couns &amp; Stu Affair'!Z73</f>
        <v>5</v>
      </c>
      <c r="X70" s="599"/>
      <c r="Y70" s="631">
        <f t="shared" ref="Y70:Y71" si="23">AVERAGE(V70,T70,R70,P70,N70)</f>
        <v>3.8</v>
      </c>
    </row>
    <row r="71" spans="2:26" ht="12" x14ac:dyDescent="0.2">
      <c r="B71" s="283" t="s">
        <v>139</v>
      </c>
      <c r="C71" s="228"/>
      <c r="D71" s="116">
        <f>Dean_Ed!H72+Ed_Leader!F69+'El_Ed "old"'!H62+'Sec_Ed "old"'!H71+'Spec_Ed, Couns &amp; Stu Affair'!H74</f>
        <v>3</v>
      </c>
      <c r="E71" s="228"/>
      <c r="F71" s="116">
        <f>Dean_Ed!J72+Ed_Leader!H69+'El_Ed "old"'!J62+'Sec_Ed "old"'!J71+'Spec_Ed, Couns &amp; Stu Affair'!J74</f>
        <v>5</v>
      </c>
      <c r="G71" s="228"/>
      <c r="H71" s="313">
        <f>Dean_Ed!L72+Ed_Leader!J69+'El_Ed "old"'!L62+'Sec_Ed "old"'!L71+'Spec_Ed, Couns &amp; Stu Affair'!L74</f>
        <v>6</v>
      </c>
      <c r="I71" s="228"/>
      <c r="J71" s="340">
        <f>Dean_Ed!N72+Ed_Leader!L69+'El_Ed "old"'!N62+'Sec_Ed "old"'!N71+'Spec_Ed, Couns &amp; Stu Affair'!N74</f>
        <v>6</v>
      </c>
      <c r="K71" s="208"/>
      <c r="L71" s="340">
        <f>Dean_Ed!P72+Ed_Leader!N69+'El_Ed "old"'!P62+'Sec_Ed "old"'!P71+'Spec_Ed, Couns &amp; Stu Affair'!P74</f>
        <v>2</v>
      </c>
      <c r="M71" s="208"/>
      <c r="N71" s="340">
        <f>Dean_Ed!R72+Ed_Leader!P69+'Curriculum &amp; Instruction'!N80+'Spec_Ed, Couns &amp; Stu Affair'!R74</f>
        <v>2</v>
      </c>
      <c r="O71" s="208"/>
      <c r="P71" s="340">
        <f>Dean_Ed!T72+Ed_Leader!R69+'Curriculum &amp; Instruction'!P80+'Spec_Ed, Couns &amp; Stu Affair'!T74</f>
        <v>2</v>
      </c>
      <c r="Q71" s="208"/>
      <c r="R71" s="340">
        <f>Dean_Ed!V72+Ed_Leader!T69+'Curriculum &amp; Instruction'!R80+'Spec_Ed, Couns &amp; Stu Affair'!V74</f>
        <v>2</v>
      </c>
      <c r="S71" s="208"/>
      <c r="T71" s="340">
        <f>Dean_Ed!X72+Ed_Leader!V69+'Curriculum &amp; Instruction'!T80+'Spec_Ed, Couns &amp; Stu Affair'!X74</f>
        <v>3</v>
      </c>
      <c r="U71" s="208"/>
      <c r="V71" s="340">
        <f>Dean_Ed!Z72+Ed_Leader!X69+'Curriculum &amp; Instruction'!V80+'Spec_Ed, Couns &amp; Stu Affair'!Z74</f>
        <v>4</v>
      </c>
      <c r="X71" s="599"/>
      <c r="Y71" s="631">
        <f t="shared" si="23"/>
        <v>2.6</v>
      </c>
    </row>
    <row r="72" spans="2:26" thickBot="1" x14ac:dyDescent="0.25">
      <c r="B72" s="284" t="s">
        <v>13</v>
      </c>
      <c r="C72" s="268"/>
      <c r="D72" s="806">
        <f>Dean_Ed!H73+Ed_Leader!F70+'El_Ed "old"'!H63+'Sec_Ed "old"'!H72+'Spec_Ed, Couns &amp; Stu Affair'!H75</f>
        <v>101</v>
      </c>
      <c r="E72" s="807"/>
      <c r="F72" s="806">
        <f>Dean_Ed!J73+Ed_Leader!H70+'El_Ed "old"'!J63+'Sec_Ed "old"'!J72+'Spec_Ed, Couns &amp; Stu Affair'!J75</f>
        <v>98</v>
      </c>
      <c r="G72" s="268"/>
      <c r="H72" s="813">
        <f>Dean_Ed!L73+Ed_Leader!J70+'El_Ed "old"'!L63+'Sec_Ed "old"'!L72+'Spec_Ed, Couns &amp; Stu Affair'!L75</f>
        <v>104</v>
      </c>
      <c r="I72" s="268"/>
      <c r="J72" s="814">
        <f>Dean_Ed!N73+Ed_Leader!L70+'El_Ed "old"'!N63+'Sec_Ed "old"'!N72+'Spec_Ed, Couns &amp; Stu Affair'!N75</f>
        <v>95</v>
      </c>
      <c r="K72" s="358"/>
      <c r="L72" s="814">
        <f>Dean_Ed!P73+Ed_Leader!N70+'El_Ed "old"'!P63+'Sec_Ed "old"'!P72+'Spec_Ed, Couns &amp; Stu Affair'!P75</f>
        <v>92</v>
      </c>
      <c r="M72" s="358"/>
      <c r="N72" s="814">
        <f>Dean_Ed!R73+Ed_Leader!P70+'Curriculum &amp; Instruction'!N81+'Spec_Ed, Couns &amp; Stu Affair'!R75</f>
        <v>88</v>
      </c>
      <c r="O72" s="358"/>
      <c r="P72" s="814">
        <f>Dean_Ed!T73+Ed_Leader!R70+'Curriculum &amp; Instruction'!P81+'Spec_Ed, Couns &amp; Stu Affair'!T75</f>
        <v>94</v>
      </c>
      <c r="Q72" s="358"/>
      <c r="R72" s="814">
        <f>Dean_Ed!V73+Ed_Leader!T70+'Curriculum &amp; Instruction'!R81+'Spec_Ed, Couns &amp; Stu Affair'!V75</f>
        <v>102</v>
      </c>
      <c r="S72" s="358"/>
      <c r="T72" s="814">
        <f>Dean_Ed!X73+Ed_Leader!V70+'Curriculum &amp; Instruction'!T81+'Spec_Ed, Couns &amp; Stu Affair'!X75</f>
        <v>115</v>
      </c>
      <c r="U72" s="358"/>
      <c r="V72" s="814">
        <f>Dean_Ed!Z73+Ed_Leader!X70+'Curriculum &amp; Instruction'!V81+'Spec_Ed, Couns &amp; Stu Affair'!Z75</f>
        <v>123</v>
      </c>
      <c r="X72" s="601"/>
      <c r="Y72" s="631">
        <f>AVERAGE(V72,T72,R72,P72,N72)</f>
        <v>104.4</v>
      </c>
    </row>
    <row r="73" spans="2:26" ht="12" x14ac:dyDescent="0.2">
      <c r="B73" s="285" t="s">
        <v>84</v>
      </c>
      <c r="C73" s="192" t="s">
        <v>82</v>
      </c>
      <c r="D73" s="193" t="s">
        <v>83</v>
      </c>
      <c r="E73" s="192" t="s">
        <v>82</v>
      </c>
      <c r="F73" s="193" t="s">
        <v>83</v>
      </c>
      <c r="G73" s="192" t="s">
        <v>82</v>
      </c>
      <c r="H73" s="193" t="s">
        <v>83</v>
      </c>
      <c r="I73" s="192" t="s">
        <v>82</v>
      </c>
      <c r="J73" s="677" t="s">
        <v>83</v>
      </c>
      <c r="K73" s="192" t="s">
        <v>82</v>
      </c>
      <c r="L73" s="193" t="s">
        <v>83</v>
      </c>
      <c r="M73" s="1108" t="s">
        <v>82</v>
      </c>
      <c r="N73" s="1109" t="s">
        <v>83</v>
      </c>
      <c r="O73" s="1108" t="s">
        <v>82</v>
      </c>
      <c r="P73" s="1109" t="s">
        <v>83</v>
      </c>
      <c r="Q73" s="1108" t="s">
        <v>82</v>
      </c>
      <c r="R73" s="1109" t="s">
        <v>83</v>
      </c>
      <c r="S73" s="1108" t="s">
        <v>82</v>
      </c>
      <c r="T73" s="1109" t="s">
        <v>83</v>
      </c>
      <c r="U73" s="1108" t="s">
        <v>82</v>
      </c>
      <c r="V73" s="1109" t="s">
        <v>83</v>
      </c>
      <c r="W73" s="22"/>
      <c r="X73" s="678" t="s">
        <v>82</v>
      </c>
      <c r="Y73" s="679" t="s">
        <v>83</v>
      </c>
    </row>
    <row r="74" spans="2:26" ht="12" x14ac:dyDescent="0.2">
      <c r="B74" s="47" t="s">
        <v>66</v>
      </c>
      <c r="C74" s="810">
        <f>Dean_Ed!G75+Ed_Leader!E72+'El_Ed "old"'!G65+'Sec_Ed "old"'!G74+'Spec_Ed, Couns &amp; Stu Affair'!G77</f>
        <v>89</v>
      </c>
      <c r="D74" s="194">
        <f t="shared" ref="D74:D81" si="24">C74/SUM(C$74:C$81)</f>
        <v>0.88118811881188119</v>
      </c>
      <c r="E74" s="830">
        <f>Dean_Ed!I75+Ed_Leader!G72+'El_Ed "old"'!I65+'Sec_Ed "old"'!I74+'Spec_Ed, Couns &amp; Stu Affair'!I77</f>
        <v>85</v>
      </c>
      <c r="F74" s="194">
        <f t="shared" ref="F74:F81" si="25">E74/SUM(E$74:E$81)</f>
        <v>0.86734693877551017</v>
      </c>
      <c r="G74" s="809">
        <f>Dean_Ed!K75+Ed_Leader!I72+'El_Ed "old"'!K65+'Sec_Ed "old"'!K74+'Spec_Ed, Couns &amp; Stu Affair'!K77</f>
        <v>89</v>
      </c>
      <c r="H74" s="194">
        <f t="shared" ref="H74:H81" si="26">G74/SUM(G$74:G$81)</f>
        <v>0.86407766990291257</v>
      </c>
      <c r="I74" s="809">
        <f>Dean_Ed!M75+Ed_Leader!K72+'El_Ed "old"'!M65+'Sec_Ed "old"'!M74+'Spec_Ed, Couns &amp; Stu Affair'!M77</f>
        <v>85</v>
      </c>
      <c r="J74" s="194">
        <f t="shared" ref="J74:J81" si="27">I74/SUM(I$74:I$81)</f>
        <v>0.89473684210526316</v>
      </c>
      <c r="K74" s="809">
        <f>Dean_Ed!O75+Ed_Leader!M72+'El_Ed "old"'!O65+'Sec_Ed "old"'!O74+'Spec_Ed, Couns &amp; Stu Affair'!O77</f>
        <v>80</v>
      </c>
      <c r="L74" s="194">
        <f t="shared" ref="L74:L81" si="28">K74/SUM(K$74:K$81)</f>
        <v>0.86956521739130432</v>
      </c>
      <c r="M74" s="830">
        <f>Dean_Ed!Q75+Ed_Leader!O72+'Curriculum &amp; Instruction'!M83+'Spec_Ed, Couns &amp; Stu Affair'!Q77</f>
        <v>78</v>
      </c>
      <c r="N74" s="1110">
        <f t="shared" ref="N74:N79" si="29">M74/SUM(M$74:M$81)</f>
        <v>0.88636363636363635</v>
      </c>
      <c r="O74" s="830">
        <f>Dean_Ed!S75+Ed_Leader!Q72+'Curriculum &amp; Instruction'!O83+'Spec_Ed, Couns &amp; Stu Affair'!S77</f>
        <v>80</v>
      </c>
      <c r="P74" s="1110">
        <f t="shared" ref="P74:P79" si="30">O74/SUM(O$74:O$81)</f>
        <v>0.85106382978723405</v>
      </c>
      <c r="Q74" s="830">
        <f>Dean_Ed!U75+Ed_Leader!S72+'Curriculum &amp; Instruction'!Q83+'Spec_Ed, Couns &amp; Stu Affair'!U77</f>
        <v>87</v>
      </c>
      <c r="R74" s="1110">
        <f t="shared" ref="R74:R79" si="31">Q74/SUM(Q$74:Q$81)</f>
        <v>0.8529411764705882</v>
      </c>
      <c r="S74" s="830">
        <f>Dean_Ed!W75+Ed_Leader!U72+'Curriculum &amp; Instruction'!S83+'Spec_Ed, Couns &amp; Stu Affair'!W77</f>
        <v>97</v>
      </c>
      <c r="T74" s="1110">
        <f t="shared" ref="T74:T79" si="32">S74/SUM(S$74:S$81)</f>
        <v>0.84347826086956523</v>
      </c>
      <c r="U74" s="830">
        <f>Dean_Ed!Y75+Ed_Leader!W72+'Curriculum &amp; Instruction'!U83+'Spec_Ed, Couns &amp; Stu Affair'!Y77</f>
        <v>99</v>
      </c>
      <c r="V74" s="1110">
        <f t="shared" ref="V74:V79" si="33">U74/SUM(U$74:U$81)</f>
        <v>0.80487804878048785</v>
      </c>
      <c r="W74" s="430"/>
      <c r="X74" s="53">
        <f t="shared" ref="X74:X81" si="34">AVERAGE(U74,S74,Q74,O74,M74)</f>
        <v>88.2</v>
      </c>
      <c r="Y74" s="621">
        <f t="shared" ref="Y74:Y81" si="35">AVERAGE(V74,T74,R74,P74,N74)</f>
        <v>0.84774499045430241</v>
      </c>
    </row>
    <row r="75" spans="2:26" ht="12" x14ac:dyDescent="0.2">
      <c r="B75" s="70" t="s">
        <v>67</v>
      </c>
      <c r="C75" s="809">
        <f>Dean_Ed!G76+Ed_Leader!E73+'El_Ed "old"'!G66+'Sec_Ed "old"'!G75+'Spec_Ed, Couns &amp; Stu Affair'!G78</f>
        <v>5</v>
      </c>
      <c r="D75" s="194">
        <f t="shared" si="24"/>
        <v>4.9504950495049507E-2</v>
      </c>
      <c r="E75" s="830">
        <f>Dean_Ed!I76+Ed_Leader!G73+'El_Ed "old"'!I66+'Sec_Ed "old"'!I75+'Spec_Ed, Couns &amp; Stu Affair'!I78</f>
        <v>6</v>
      </c>
      <c r="F75" s="194">
        <f t="shared" si="25"/>
        <v>6.1224489795918366E-2</v>
      </c>
      <c r="G75" s="809">
        <f>Dean_Ed!K76+Ed_Leader!I73+'El_Ed "old"'!K66+'Sec_Ed "old"'!K75+'Spec_Ed, Couns &amp; Stu Affair'!K78</f>
        <v>6</v>
      </c>
      <c r="H75" s="194">
        <f t="shared" si="26"/>
        <v>5.8252427184466021E-2</v>
      </c>
      <c r="I75" s="809">
        <f>Dean_Ed!M76+Ed_Leader!K73+'El_Ed "old"'!M66+'Sec_Ed "old"'!M75+'Spec_Ed, Couns &amp; Stu Affair'!M78</f>
        <v>5</v>
      </c>
      <c r="J75" s="194">
        <f t="shared" si="27"/>
        <v>5.2631578947368418E-2</v>
      </c>
      <c r="K75" s="809">
        <f>Dean_Ed!O76+Ed_Leader!M73+'El_Ed "old"'!O66+'Sec_Ed "old"'!O75+'Spec_Ed, Couns &amp; Stu Affair'!O78</f>
        <v>4</v>
      </c>
      <c r="L75" s="194">
        <f t="shared" si="28"/>
        <v>4.3478260869565216E-2</v>
      </c>
      <c r="M75" s="830">
        <f>Dean_Ed!Q76+Ed_Leader!O73+'Curriculum &amp; Instruction'!M84+'Spec_Ed, Couns &amp; Stu Affair'!Q78</f>
        <v>4</v>
      </c>
      <c r="N75" s="1110">
        <f t="shared" si="29"/>
        <v>4.5454545454545456E-2</v>
      </c>
      <c r="O75" s="830">
        <f>Dean_Ed!S76+Ed_Leader!Q73+'Curriculum &amp; Instruction'!O84+'Spec_Ed, Couns &amp; Stu Affair'!S78</f>
        <v>5</v>
      </c>
      <c r="P75" s="1110">
        <f t="shared" si="30"/>
        <v>5.3191489361702128E-2</v>
      </c>
      <c r="Q75" s="830">
        <f>Dean_Ed!U76+Ed_Leader!S73+'Curriculum &amp; Instruction'!Q84+'Spec_Ed, Couns &amp; Stu Affair'!U78</f>
        <v>6</v>
      </c>
      <c r="R75" s="1110">
        <f t="shared" si="31"/>
        <v>5.8823529411764705E-2</v>
      </c>
      <c r="S75" s="830">
        <f>Dean_Ed!W76+Ed_Leader!U73+'Curriculum &amp; Instruction'!S84+'Spec_Ed, Couns &amp; Stu Affair'!W78</f>
        <v>6</v>
      </c>
      <c r="T75" s="1110">
        <f t="shared" si="32"/>
        <v>5.2173913043478258E-2</v>
      </c>
      <c r="U75" s="830">
        <f>Dean_Ed!Y76+Ed_Leader!W73+'Curriculum &amp; Instruction'!U84+'Spec_Ed, Couns &amp; Stu Affair'!Y78</f>
        <v>10</v>
      </c>
      <c r="V75" s="1110">
        <f t="shared" si="33"/>
        <v>8.1300813008130079E-2</v>
      </c>
      <c r="W75" s="430"/>
      <c r="X75" s="53">
        <f t="shared" si="34"/>
        <v>6.2</v>
      </c>
      <c r="Y75" s="621">
        <f t="shared" si="35"/>
        <v>5.8188858055924123E-2</v>
      </c>
    </row>
    <row r="76" spans="2:26" ht="12" x14ac:dyDescent="0.2">
      <c r="B76" s="70" t="s">
        <v>68</v>
      </c>
      <c r="C76" s="809">
        <f>Dean_Ed!G77+Ed_Leader!E74+'El_Ed "old"'!G67+'Sec_Ed "old"'!G76+'Spec_Ed, Couns &amp; Stu Affair'!G79</f>
        <v>3</v>
      </c>
      <c r="D76" s="194">
        <f t="shared" si="24"/>
        <v>2.9702970297029702E-2</v>
      </c>
      <c r="E76" s="830">
        <f>Dean_Ed!I77+Ed_Leader!G74+'El_Ed "old"'!I67+'Sec_Ed "old"'!I76+'Spec_Ed, Couns &amp; Stu Affair'!I79</f>
        <v>3</v>
      </c>
      <c r="F76" s="194">
        <f t="shared" si="25"/>
        <v>3.0612244897959183E-2</v>
      </c>
      <c r="G76" s="809">
        <f>Dean_Ed!K77+Ed_Leader!I74+'El_Ed "old"'!K67+'Sec_Ed "old"'!K76+'Spec_Ed, Couns &amp; Stu Affair'!K79</f>
        <v>4</v>
      </c>
      <c r="H76" s="194">
        <f t="shared" si="26"/>
        <v>3.8834951456310676E-2</v>
      </c>
      <c r="I76" s="809">
        <f>Dean_Ed!M77+Ed_Leader!K74+'El_Ed "old"'!M67+'Sec_Ed "old"'!M76+'Spec_Ed, Couns &amp; Stu Affair'!M79</f>
        <v>2</v>
      </c>
      <c r="J76" s="194">
        <f t="shared" si="27"/>
        <v>2.1052631578947368E-2</v>
      </c>
      <c r="K76" s="809">
        <f>Dean_Ed!O77+Ed_Leader!M74+'El_Ed "old"'!O67+'Sec_Ed "old"'!O76+'Spec_Ed, Couns &amp; Stu Affair'!O79</f>
        <v>5</v>
      </c>
      <c r="L76" s="194">
        <f t="shared" si="28"/>
        <v>5.434782608695652E-2</v>
      </c>
      <c r="M76" s="830">
        <f>Dean_Ed!Q77+Ed_Leader!O74+'Curriculum &amp; Instruction'!M85+'Spec_Ed, Couns &amp; Stu Affair'!Q79</f>
        <v>2</v>
      </c>
      <c r="N76" s="1110">
        <f t="shared" si="29"/>
        <v>2.2727272727272728E-2</v>
      </c>
      <c r="O76" s="830">
        <f>Dean_Ed!S77+Ed_Leader!Q74+'Curriculum &amp; Instruction'!O85+'Spec_Ed, Couns &amp; Stu Affair'!S79</f>
        <v>3</v>
      </c>
      <c r="P76" s="1110">
        <f t="shared" si="30"/>
        <v>3.1914893617021274E-2</v>
      </c>
      <c r="Q76" s="830">
        <f>Dean_Ed!U77+Ed_Leader!S74+'Curriculum &amp; Instruction'!Q85+'Spec_Ed, Couns &amp; Stu Affair'!U79</f>
        <v>3</v>
      </c>
      <c r="R76" s="1110">
        <f t="shared" si="31"/>
        <v>2.9411764705882353E-2</v>
      </c>
      <c r="S76" s="830">
        <f>Dean_Ed!W77+Ed_Leader!U74+'Curriculum &amp; Instruction'!S85+'Spec_Ed, Couns &amp; Stu Affair'!W79</f>
        <v>3</v>
      </c>
      <c r="T76" s="1110">
        <f t="shared" si="32"/>
        <v>2.6086956521739129E-2</v>
      </c>
      <c r="U76" s="830">
        <f>Dean_Ed!Y77+Ed_Leader!W74+'Curriculum &amp; Instruction'!U85+'Spec_Ed, Couns &amp; Stu Affair'!Y79</f>
        <v>7</v>
      </c>
      <c r="V76" s="1110">
        <f t="shared" si="33"/>
        <v>5.6910569105691054E-2</v>
      </c>
      <c r="W76" s="430"/>
      <c r="X76" s="53">
        <f t="shared" si="34"/>
        <v>3.6</v>
      </c>
      <c r="Y76" s="621">
        <f t="shared" si="35"/>
        <v>3.3410291335521307E-2</v>
      </c>
    </row>
    <row r="77" spans="2:26" ht="12" x14ac:dyDescent="0.2">
      <c r="B77" s="70" t="s">
        <v>69</v>
      </c>
      <c r="C77" s="809">
        <f>Dean_Ed!G78+Ed_Leader!E75+'El_Ed "old"'!G68+'Sec_Ed "old"'!G77+'Spec_Ed, Couns &amp; Stu Affair'!G80</f>
        <v>0</v>
      </c>
      <c r="D77" s="194">
        <f t="shared" si="24"/>
        <v>0</v>
      </c>
      <c r="E77" s="830">
        <f>Dean_Ed!I78+Ed_Leader!G75+'El_Ed "old"'!I68+'Sec_Ed "old"'!I77+'Spec_Ed, Couns &amp; Stu Affair'!I80</f>
        <v>0</v>
      </c>
      <c r="F77" s="194">
        <f t="shared" si="25"/>
        <v>0</v>
      </c>
      <c r="G77" s="809">
        <f>Dean_Ed!K78+Ed_Leader!I75+'El_Ed "old"'!K68+'Sec_Ed "old"'!K77+'Spec_Ed, Couns &amp; Stu Affair'!K80</f>
        <v>0</v>
      </c>
      <c r="H77" s="194">
        <f t="shared" si="26"/>
        <v>0</v>
      </c>
      <c r="I77" s="809">
        <f>Dean_Ed!M78+Ed_Leader!K75+'El_Ed "old"'!M68+'Sec_Ed "old"'!M77+'Spec_Ed, Couns &amp; Stu Affair'!M80</f>
        <v>0</v>
      </c>
      <c r="J77" s="194">
        <f t="shared" si="27"/>
        <v>0</v>
      </c>
      <c r="K77" s="809">
        <f>Dean_Ed!O78+Ed_Leader!M75+'El_Ed "old"'!O68+'Sec_Ed "old"'!O77+'Spec_Ed, Couns &amp; Stu Affair'!O80</f>
        <v>0</v>
      </c>
      <c r="L77" s="194">
        <f t="shared" si="28"/>
        <v>0</v>
      </c>
      <c r="M77" s="830">
        <f>Dean_Ed!Q78+Ed_Leader!O75+'Curriculum &amp; Instruction'!M86+'Spec_Ed, Couns &amp; Stu Affair'!Q80</f>
        <v>0</v>
      </c>
      <c r="N77" s="1110">
        <f t="shared" si="29"/>
        <v>0</v>
      </c>
      <c r="O77" s="830">
        <f>Dean_Ed!S78+Ed_Leader!Q75+'Curriculum &amp; Instruction'!O86+'Spec_Ed, Couns &amp; Stu Affair'!S80</f>
        <v>0</v>
      </c>
      <c r="P77" s="1110">
        <f t="shared" si="30"/>
        <v>0</v>
      </c>
      <c r="Q77" s="830">
        <f>Dean_Ed!U78+Ed_Leader!S75+'Curriculum &amp; Instruction'!Q86+'Spec_Ed, Couns &amp; Stu Affair'!U80</f>
        <v>1</v>
      </c>
      <c r="R77" s="1110">
        <f t="shared" si="31"/>
        <v>9.8039215686274508E-3</v>
      </c>
      <c r="S77" s="830">
        <f>Dean_Ed!W78+Ed_Leader!U75+'Curriculum &amp; Instruction'!S86+'Spec_Ed, Couns &amp; Stu Affair'!W80</f>
        <v>1</v>
      </c>
      <c r="T77" s="1110">
        <f t="shared" si="32"/>
        <v>8.6956521739130436E-3</v>
      </c>
      <c r="U77" s="830">
        <f>Dean_Ed!Y78+Ed_Leader!W75+'Curriculum &amp; Instruction'!U86+'Spec_Ed, Couns &amp; Stu Affair'!Y80</f>
        <v>1</v>
      </c>
      <c r="V77" s="1110">
        <f t="shared" si="33"/>
        <v>8.130081300813009E-3</v>
      </c>
      <c r="W77" s="430"/>
      <c r="X77" s="53">
        <f t="shared" si="34"/>
        <v>0.6</v>
      </c>
      <c r="Y77" s="621">
        <f t="shared" si="35"/>
        <v>5.3259310086707003E-3</v>
      </c>
    </row>
    <row r="78" spans="2:26" ht="12" x14ac:dyDescent="0.2">
      <c r="B78" s="70" t="s">
        <v>70</v>
      </c>
      <c r="C78" s="809">
        <f>Dean_Ed!G79+Ed_Leader!E76+'El_Ed "old"'!G69+'Sec_Ed "old"'!G78+'Spec_Ed, Couns &amp; Stu Affair'!G81</f>
        <v>4</v>
      </c>
      <c r="D78" s="194">
        <f t="shared" si="24"/>
        <v>3.9603960396039604E-2</v>
      </c>
      <c r="E78" s="830">
        <f>Dean_Ed!I79+Ed_Leader!G76+'El_Ed "old"'!I69+'Sec_Ed "old"'!I78+'Spec_Ed, Couns &amp; Stu Affair'!I81</f>
        <v>3</v>
      </c>
      <c r="F78" s="194">
        <f t="shared" si="25"/>
        <v>3.0612244897959183E-2</v>
      </c>
      <c r="G78" s="809">
        <f>Dean_Ed!K79+Ed_Leader!I76+'El_Ed "old"'!K69+'Sec_Ed "old"'!K78+'Spec_Ed, Couns &amp; Stu Affair'!K81</f>
        <v>4</v>
      </c>
      <c r="H78" s="194">
        <f t="shared" si="26"/>
        <v>3.8834951456310676E-2</v>
      </c>
      <c r="I78" s="809">
        <f>Dean_Ed!M79+Ed_Leader!K76+'El_Ed "old"'!M69+'Sec_Ed "old"'!M78+'Spec_Ed, Couns &amp; Stu Affair'!M81</f>
        <v>3</v>
      </c>
      <c r="J78" s="194">
        <f t="shared" si="27"/>
        <v>3.1578947368421054E-2</v>
      </c>
      <c r="K78" s="809">
        <f>Dean_Ed!O79+Ed_Leader!M76+'El_Ed "old"'!O69+'Sec_Ed "old"'!O78+'Spec_Ed, Couns &amp; Stu Affair'!O81</f>
        <v>2</v>
      </c>
      <c r="L78" s="194">
        <f t="shared" si="28"/>
        <v>2.1739130434782608E-2</v>
      </c>
      <c r="M78" s="830">
        <f>Dean_Ed!Q79+Ed_Leader!O76+'Curriculum &amp; Instruction'!M87+'Spec_Ed, Couns &amp; Stu Affair'!Q81</f>
        <v>2</v>
      </c>
      <c r="N78" s="1110">
        <f t="shared" si="29"/>
        <v>2.2727272727272728E-2</v>
      </c>
      <c r="O78" s="830">
        <f>Dean_Ed!S79+Ed_Leader!Q76+'Curriculum &amp; Instruction'!O87+'Spec_Ed, Couns &amp; Stu Affair'!S81</f>
        <v>2</v>
      </c>
      <c r="P78" s="1110">
        <f t="shared" si="30"/>
        <v>2.1276595744680851E-2</v>
      </c>
      <c r="Q78" s="830">
        <f>Dean_Ed!U79+Ed_Leader!S76+'Curriculum &amp; Instruction'!Q87+'Spec_Ed, Couns &amp; Stu Affair'!U81</f>
        <v>2</v>
      </c>
      <c r="R78" s="1110">
        <f t="shared" si="31"/>
        <v>1.9607843137254902E-2</v>
      </c>
      <c r="S78" s="830">
        <f>Dean_Ed!W79+Ed_Leader!U76+'Curriculum &amp; Instruction'!S87+'Spec_Ed, Couns &amp; Stu Affair'!W81</f>
        <v>3</v>
      </c>
      <c r="T78" s="1110">
        <f t="shared" si="32"/>
        <v>2.6086956521739129E-2</v>
      </c>
      <c r="U78" s="830">
        <f>Dean_Ed!Y79+Ed_Leader!W76+'Curriculum &amp; Instruction'!U87+'Spec_Ed, Couns &amp; Stu Affair'!Y81</f>
        <v>4</v>
      </c>
      <c r="V78" s="1110">
        <f t="shared" si="33"/>
        <v>3.2520325203252036E-2</v>
      </c>
      <c r="W78" s="430"/>
      <c r="X78" s="53">
        <f t="shared" si="34"/>
        <v>2.6</v>
      </c>
      <c r="Y78" s="621">
        <f t="shared" si="35"/>
        <v>2.4443798666839926E-2</v>
      </c>
    </row>
    <row r="79" spans="2:26" ht="12" x14ac:dyDescent="0.2">
      <c r="B79" s="70" t="s">
        <v>71</v>
      </c>
      <c r="C79" s="809">
        <f>Dean_Ed!G80+Ed_Leader!E77+'El_Ed "old"'!G70+'Sec_Ed "old"'!G79+'Spec_Ed, Couns &amp; Stu Affair'!G82</f>
        <v>0</v>
      </c>
      <c r="D79" s="194">
        <f t="shared" si="24"/>
        <v>0</v>
      </c>
      <c r="E79" s="830">
        <f>Dean_Ed!I80+Ed_Leader!G77+'El_Ed "old"'!I70+'Sec_Ed "old"'!I79+'Spec_Ed, Couns &amp; Stu Affair'!I82</f>
        <v>1</v>
      </c>
      <c r="F79" s="194">
        <f t="shared" si="25"/>
        <v>1.020408163265306E-2</v>
      </c>
      <c r="G79" s="809">
        <f>Dean_Ed!K80+Ed_Leader!I77+'El_Ed "old"'!K70+'Sec_Ed "old"'!K79+'Spec_Ed, Couns &amp; Stu Affair'!K82</f>
        <v>0</v>
      </c>
      <c r="H79" s="194">
        <f t="shared" si="26"/>
        <v>0</v>
      </c>
      <c r="I79" s="809">
        <f>Dean_Ed!M80+Ed_Leader!K77+'El_Ed "old"'!M70+'Sec_Ed "old"'!M79+'Spec_Ed, Couns &amp; Stu Affair'!M82</f>
        <v>0</v>
      </c>
      <c r="J79" s="194">
        <f t="shared" si="27"/>
        <v>0</v>
      </c>
      <c r="K79" s="809">
        <f>Dean_Ed!O80+Ed_Leader!M77+'El_Ed "old"'!O70+'Sec_Ed "old"'!O79+'Spec_Ed, Couns &amp; Stu Affair'!O82</f>
        <v>0</v>
      </c>
      <c r="L79" s="194">
        <f t="shared" si="28"/>
        <v>0</v>
      </c>
      <c r="M79" s="830">
        <f>Dean_Ed!Q80+Ed_Leader!O77+'Curriculum &amp; Instruction'!M88+'Spec_Ed, Couns &amp; Stu Affair'!Q82</f>
        <v>0</v>
      </c>
      <c r="N79" s="1110">
        <f t="shared" si="29"/>
        <v>0</v>
      </c>
      <c r="O79" s="830">
        <f>Dean_Ed!S80+Ed_Leader!Q77+'Curriculum &amp; Instruction'!O88+'Spec_Ed, Couns &amp; Stu Affair'!S82</f>
        <v>1</v>
      </c>
      <c r="P79" s="1110">
        <f t="shared" si="30"/>
        <v>1.0638297872340425E-2</v>
      </c>
      <c r="Q79" s="830">
        <f>Dean_Ed!U80+Ed_Leader!S77+'Curriculum &amp; Instruction'!Q88+'Spec_Ed, Couns &amp; Stu Affair'!U82</f>
        <v>1</v>
      </c>
      <c r="R79" s="1110">
        <f t="shared" si="31"/>
        <v>9.8039215686274508E-3</v>
      </c>
      <c r="S79" s="830">
        <f>Dean_Ed!W80+Ed_Leader!U77+'Curriculum &amp; Instruction'!S88+'Spec_Ed, Couns &amp; Stu Affair'!W82</f>
        <v>1</v>
      </c>
      <c r="T79" s="1110">
        <f t="shared" si="32"/>
        <v>8.6956521739130436E-3</v>
      </c>
      <c r="U79" s="830">
        <f>Dean_Ed!Y80+Ed_Leader!W77+'Curriculum &amp; Instruction'!U88+'Spec_Ed, Couns &amp; Stu Affair'!Y82</f>
        <v>1</v>
      </c>
      <c r="V79" s="1110">
        <f t="shared" si="33"/>
        <v>8.130081300813009E-3</v>
      </c>
      <c r="W79" s="430"/>
      <c r="X79" s="53">
        <f t="shared" si="34"/>
        <v>0.8</v>
      </c>
      <c r="Y79" s="621">
        <f t="shared" si="35"/>
        <v>7.4535905831387859E-3</v>
      </c>
      <c r="Z79" s="1" t="s">
        <v>20</v>
      </c>
    </row>
    <row r="80" spans="2:26" ht="12" x14ac:dyDescent="0.2">
      <c r="B80" s="70" t="s">
        <v>170</v>
      </c>
      <c r="C80" s="1111"/>
      <c r="D80" s="1112"/>
      <c r="E80" s="1111"/>
      <c r="F80" s="1112"/>
      <c r="G80" s="1111"/>
      <c r="H80" s="1112"/>
      <c r="I80" s="1111"/>
      <c r="J80" s="1112"/>
      <c r="K80" s="1111"/>
      <c r="L80" s="1112"/>
      <c r="M80" s="830">
        <f>Dean_Ed!Q81+Ed_Leader!O78+'Curriculum &amp; Instruction'!M89+'Spec_Ed, Couns &amp; Stu Affair'!Q83</f>
        <v>2</v>
      </c>
      <c r="N80" s="1110">
        <f t="shared" ref="N80:N93" si="36">M80/SUM(M$74:M$81)</f>
        <v>2.2727272727272728E-2</v>
      </c>
      <c r="O80" s="830">
        <f>Dean_Ed!S81+Ed_Leader!Q78+'Curriculum &amp; Instruction'!O89+'Spec_Ed, Couns &amp; Stu Affair'!S83</f>
        <v>1</v>
      </c>
      <c r="P80" s="1110">
        <f>O80/SUM(O$74:O$81)</f>
        <v>1.0638297872340425E-2</v>
      </c>
      <c r="Q80" s="830">
        <f>Dean_Ed!U81+Ed_Leader!S78+'Curriculum &amp; Instruction'!Q89+'Spec_Ed, Couns &amp; Stu Affair'!U83</f>
        <v>1</v>
      </c>
      <c r="R80" s="1110">
        <f>Q80/SUM(Q$74:Q$81)</f>
        <v>9.8039215686274508E-3</v>
      </c>
      <c r="S80" s="830">
        <f>Dean_Ed!W81+Ed_Leader!U78+'Curriculum &amp; Instruction'!S89+'Spec_Ed, Couns &amp; Stu Affair'!W83</f>
        <v>1</v>
      </c>
      <c r="T80" s="1110">
        <f>S80/SUM(S$74:S$81)</f>
        <v>8.6956521739130436E-3</v>
      </c>
      <c r="U80" s="830">
        <f>Dean_Ed!Y81+Ed_Leader!W78+'Curriculum &amp; Instruction'!U89+'Spec_Ed, Couns &amp; Stu Affair'!Y83</f>
        <v>1</v>
      </c>
      <c r="V80" s="1110">
        <f>U80/SUM(U$74:U$81)</f>
        <v>8.130081300813009E-3</v>
      </c>
      <c r="W80" s="430"/>
      <c r="X80" s="53">
        <f t="shared" si="34"/>
        <v>1.2</v>
      </c>
      <c r="Y80" s="621">
        <f t="shared" si="35"/>
        <v>1.1999045128593332E-2</v>
      </c>
    </row>
    <row r="81" spans="1:27" ht="12" x14ac:dyDescent="0.2">
      <c r="B81" s="47" t="s">
        <v>72</v>
      </c>
      <c r="C81" s="809">
        <f>Dean_Ed!G82+Ed_Leader!E79+'El_Ed "old"'!G71+'Sec_Ed "old"'!G80+'Spec_Ed, Couns &amp; Stu Affair'!G84</f>
        <v>0</v>
      </c>
      <c r="D81" s="194">
        <f t="shared" si="24"/>
        <v>0</v>
      </c>
      <c r="E81" s="830">
        <f>Dean_Ed!I82+Ed_Leader!G79+'El_Ed "old"'!I71+'Sec_Ed "old"'!I80+'Spec_Ed, Couns &amp; Stu Affair'!I84</f>
        <v>0</v>
      </c>
      <c r="F81" s="194">
        <f t="shared" si="25"/>
        <v>0</v>
      </c>
      <c r="G81" s="809">
        <f>Dean_Ed!K82+Ed_Leader!I79+'El_Ed "old"'!K71+'Sec_Ed "old"'!K80+'Spec_Ed, Couns &amp; Stu Affair'!K84</f>
        <v>0</v>
      </c>
      <c r="H81" s="194">
        <f t="shared" si="26"/>
        <v>0</v>
      </c>
      <c r="I81" s="809">
        <f>Dean_Ed!M82+Ed_Leader!K79+'El_Ed "old"'!M71+'Sec_Ed "old"'!M80+'Spec_Ed, Couns &amp; Stu Affair'!M84</f>
        <v>0</v>
      </c>
      <c r="J81" s="194">
        <f t="shared" si="27"/>
        <v>0</v>
      </c>
      <c r="K81" s="809">
        <f>Dean_Ed!O82+Ed_Leader!M79+'El_Ed "old"'!O71+'Sec_Ed "old"'!O80+'Spec_Ed, Couns &amp; Stu Affair'!O84</f>
        <v>1</v>
      </c>
      <c r="L81" s="194">
        <f t="shared" si="28"/>
        <v>1.0869565217391304E-2</v>
      </c>
      <c r="M81" s="830">
        <f>Dean_Ed!Q82+Ed_Leader!O79+'Curriculum &amp; Instruction'!M90+'Spec_Ed, Couns &amp; Stu Affair'!Q84</f>
        <v>0</v>
      </c>
      <c r="N81" s="1110">
        <f t="shared" si="36"/>
        <v>0</v>
      </c>
      <c r="O81" s="830">
        <f>Dean_Ed!S82+Ed_Leader!Q79+'Curriculum &amp; Instruction'!O90+'Spec_Ed, Couns &amp; Stu Affair'!S84</f>
        <v>2</v>
      </c>
      <c r="P81" s="1110">
        <f>O81/SUM(O$74:O$81)</f>
        <v>2.1276595744680851E-2</v>
      </c>
      <c r="Q81" s="830">
        <f>Dean_Ed!U82+Ed_Leader!S79+'Curriculum &amp; Instruction'!Q90+'Spec_Ed, Couns &amp; Stu Affair'!U84</f>
        <v>1</v>
      </c>
      <c r="R81" s="1110">
        <f>Q81/SUM(Q$74:Q$81)</f>
        <v>9.8039215686274508E-3</v>
      </c>
      <c r="S81" s="830">
        <f>Dean_Ed!W82+Ed_Leader!U79+'Curriculum &amp; Instruction'!S90+'Spec_Ed, Couns &amp; Stu Affair'!W84</f>
        <v>3</v>
      </c>
      <c r="T81" s="1110">
        <f>S81/SUM(S$74:S$81)</f>
        <v>2.6086956521739129E-2</v>
      </c>
      <c r="U81" s="830">
        <f>Dean_Ed!Y82+Ed_Leader!W79+'Curriculum &amp; Instruction'!U90+'Spec_Ed, Couns &amp; Stu Affair'!Y84</f>
        <v>0</v>
      </c>
      <c r="V81" s="1110">
        <f>U81/SUM(U$74:U$81)</f>
        <v>0</v>
      </c>
      <c r="W81" s="430"/>
      <c r="X81" s="53">
        <f t="shared" si="34"/>
        <v>1.2</v>
      </c>
      <c r="Y81" s="621">
        <f t="shared" si="35"/>
        <v>1.1433494767009486E-2</v>
      </c>
    </row>
    <row r="82" spans="1:27" ht="12" x14ac:dyDescent="0.2">
      <c r="B82" s="286" t="s">
        <v>85</v>
      </c>
      <c r="C82" s="172"/>
      <c r="D82" s="357"/>
      <c r="E82" s="114"/>
      <c r="F82" s="266"/>
      <c r="G82" s="172"/>
      <c r="H82" s="501"/>
      <c r="I82" s="172"/>
      <c r="J82" s="808"/>
      <c r="K82" s="114"/>
      <c r="L82" s="808"/>
      <c r="M82" s="830"/>
      <c r="N82" s="1110"/>
      <c r="O82" s="830"/>
      <c r="P82" s="1110"/>
      <c r="Q82" s="830"/>
      <c r="R82" s="1110"/>
      <c r="S82" s="830"/>
      <c r="T82" s="1110"/>
      <c r="U82" s="830"/>
      <c r="V82" s="1110"/>
      <c r="W82" s="885"/>
      <c r="X82" s="53"/>
      <c r="Y82" s="621"/>
    </row>
    <row r="83" spans="1:27" ht="12" x14ac:dyDescent="0.2">
      <c r="B83" s="47" t="s">
        <v>73</v>
      </c>
      <c r="C83" s="809">
        <f>Dean_Ed!G84+Ed_Leader!E81+'El_Ed "old"'!G73+'Sec_Ed "old"'!G82+'Spec_Ed, Couns &amp; Stu Affair'!G86</f>
        <v>32</v>
      </c>
      <c r="D83" s="194">
        <f>C83/SUM(C$83:C$84)</f>
        <v>0.31683168316831684</v>
      </c>
      <c r="E83" s="830">
        <f>Dean_Ed!I84+Ed_Leader!G81+'El_Ed "old"'!I73+'Sec_Ed "old"'!I82+'Spec_Ed, Couns &amp; Stu Affair'!I86</f>
        <v>30</v>
      </c>
      <c r="F83" s="194">
        <f>E83/SUM(E$83:E$84)</f>
        <v>0.30612244897959184</v>
      </c>
      <c r="G83" s="809">
        <f>Dean_Ed!K84+Ed_Leader!I81+'El_Ed "old"'!K73+'Sec_Ed "old"'!K82+'Spec_Ed, Couns &amp; Stu Affair'!K86</f>
        <v>48</v>
      </c>
      <c r="H83" s="194">
        <f>G83/SUM(G$83:G$84)</f>
        <v>0.46601941747572817</v>
      </c>
      <c r="I83" s="809">
        <f>Dean_Ed!M84+Ed_Leader!K81+'El_Ed "old"'!M73+'Sec_Ed "old"'!M82+'Spec_Ed, Couns &amp; Stu Affair'!M86</f>
        <v>36</v>
      </c>
      <c r="J83" s="194">
        <f>I83/SUM(I$83:I$84)</f>
        <v>0.37894736842105264</v>
      </c>
      <c r="K83" s="809">
        <f>Dean_Ed!O84+Ed_Leader!M81+'El_Ed "old"'!O73+'Sec_Ed "old"'!O82+'Spec_Ed, Couns &amp; Stu Affair'!O86</f>
        <v>28</v>
      </c>
      <c r="L83" s="194">
        <f>K83/SUM(K$83:K$84)</f>
        <v>0.30434782608695654</v>
      </c>
      <c r="M83" s="830">
        <f>Dean_Ed!Q84+Ed_Leader!O81+'Curriculum &amp; Instruction'!M92+'Spec_Ed, Couns &amp; Stu Affair'!Q86</f>
        <v>23</v>
      </c>
      <c r="N83" s="1110">
        <f t="shared" si="36"/>
        <v>0.26136363636363635</v>
      </c>
      <c r="O83" s="830">
        <f>Dean_Ed!S84+Ed_Leader!Q81+'Curriculum &amp; Instruction'!O92+'Spec_Ed, Couns &amp; Stu Affair'!S86</f>
        <v>23</v>
      </c>
      <c r="P83" s="1110">
        <f>O83/SUM(O$74:O$81)</f>
        <v>0.24468085106382978</v>
      </c>
      <c r="Q83" s="830">
        <f>Dean_Ed!U84+Ed_Leader!S81+'Curriculum &amp; Instruction'!Q92+'Spec_Ed, Couns &amp; Stu Affair'!U86</f>
        <v>31</v>
      </c>
      <c r="R83" s="1110">
        <f>Q83/SUM(Q$74:Q$81)</f>
        <v>0.30392156862745096</v>
      </c>
      <c r="S83" s="830">
        <f>Dean_Ed!W84+Ed_Leader!U81+'Curriculum &amp; Instruction'!S92+'Spec_Ed, Couns &amp; Stu Affair'!W86</f>
        <v>30</v>
      </c>
      <c r="T83" s="1110">
        <f>S83/SUM(S$74:S$81)</f>
        <v>0.2608695652173913</v>
      </c>
      <c r="U83" s="830">
        <f>Dean_Ed!Y84+Ed_Leader!W81+'Curriculum &amp; Instruction'!U92+'Spec_Ed, Couns &amp; Stu Affair'!Y86</f>
        <v>29</v>
      </c>
      <c r="V83" s="1110">
        <f>U83/SUM(U$74:U$81)</f>
        <v>0.23577235772357724</v>
      </c>
      <c r="W83" s="885"/>
      <c r="X83" s="53">
        <f t="shared" ref="X83:X84" si="37">AVERAGE(U83,S83,Q83,O83,M83)</f>
        <v>27.2</v>
      </c>
      <c r="Y83" s="621">
        <f t="shared" ref="Y83:Y84" si="38">AVERAGE(V83,T83,R83,P83,N83)</f>
        <v>0.26132159579917713</v>
      </c>
    </row>
    <row r="84" spans="1:27" ht="12" x14ac:dyDescent="0.2">
      <c r="B84" s="47" t="s">
        <v>74</v>
      </c>
      <c r="C84" s="809">
        <f>Dean_Ed!G85+Ed_Leader!E82+'El_Ed "old"'!G74+'Sec_Ed "old"'!G83+'Spec_Ed, Couns &amp; Stu Affair'!G87</f>
        <v>69</v>
      </c>
      <c r="D84" s="194">
        <f>C84/SUM(C$83:C$84)</f>
        <v>0.68316831683168322</v>
      </c>
      <c r="E84" s="830">
        <f>Dean_Ed!I85+Ed_Leader!G82+'El_Ed "old"'!I74+'Sec_Ed "old"'!I83+'Spec_Ed, Couns &amp; Stu Affair'!I87</f>
        <v>68</v>
      </c>
      <c r="F84" s="194">
        <f>E84/SUM(E$83:E$84)</f>
        <v>0.69387755102040816</v>
      </c>
      <c r="G84" s="809">
        <f>Dean_Ed!K85+Ed_Leader!I82+'El_Ed "old"'!K74+'Sec_Ed "old"'!K83+'Spec_Ed, Couns &amp; Stu Affair'!K87</f>
        <v>55</v>
      </c>
      <c r="H84" s="194">
        <f>G84/SUM(G$83:G$84)</f>
        <v>0.53398058252427183</v>
      </c>
      <c r="I84" s="809">
        <f>Dean_Ed!M85+Ed_Leader!K82+'El_Ed "old"'!M74+'Sec_Ed "old"'!M83+'Spec_Ed, Couns &amp; Stu Affair'!M87</f>
        <v>59</v>
      </c>
      <c r="J84" s="194">
        <f>I84/SUM(I$83:I$84)</f>
        <v>0.62105263157894741</v>
      </c>
      <c r="K84" s="830">
        <f>Dean_Ed!O85+Ed_Leader!M82+'El_Ed "old"'!O74+'Sec_Ed "old"'!O83+'Spec_Ed, Couns &amp; Stu Affair'!O87</f>
        <v>64</v>
      </c>
      <c r="L84" s="194">
        <f>K84/SUM(K$83:K$84)</f>
        <v>0.69565217391304346</v>
      </c>
      <c r="M84" s="830">
        <f>Dean_Ed!Q85+Ed_Leader!O82+'Curriculum &amp; Instruction'!M93+'Spec_Ed, Couns &amp; Stu Affair'!Q87</f>
        <v>65</v>
      </c>
      <c r="N84" s="1110">
        <f t="shared" si="36"/>
        <v>0.73863636363636365</v>
      </c>
      <c r="O84" s="830">
        <f>Dean_Ed!S85+Ed_Leader!Q82+'Curriculum &amp; Instruction'!O93+'Spec_Ed, Couns &amp; Stu Affair'!S87</f>
        <v>71</v>
      </c>
      <c r="P84" s="1110">
        <f>O84/SUM(O$74:O$81)</f>
        <v>0.75531914893617025</v>
      </c>
      <c r="Q84" s="830">
        <f>Dean_Ed!U85+Ed_Leader!S82+'Curriculum &amp; Instruction'!Q93+'Spec_Ed, Couns &amp; Stu Affair'!U87</f>
        <v>71</v>
      </c>
      <c r="R84" s="1110">
        <f>Q84/SUM(Q$74:Q$81)</f>
        <v>0.69607843137254899</v>
      </c>
      <c r="S84" s="830">
        <f>Dean_Ed!W85+Ed_Leader!U82+'Curriculum &amp; Instruction'!S93+'Spec_Ed, Couns &amp; Stu Affair'!W87</f>
        <v>85</v>
      </c>
      <c r="T84" s="1110">
        <f>S84/SUM(S$74:S$81)</f>
        <v>0.73913043478260865</v>
      </c>
      <c r="U84" s="830">
        <f>Dean_Ed!Y85+Ed_Leader!W82+'Curriculum &amp; Instruction'!U93+'Spec_Ed, Couns &amp; Stu Affair'!Y87</f>
        <v>94</v>
      </c>
      <c r="V84" s="1110">
        <f>U84/SUM(U$74:U$81)</f>
        <v>0.76422764227642281</v>
      </c>
      <c r="W84" s="885"/>
      <c r="X84" s="53">
        <f t="shared" si="37"/>
        <v>77.2</v>
      </c>
      <c r="Y84" s="621">
        <f t="shared" si="38"/>
        <v>0.73867840420082298</v>
      </c>
    </row>
    <row r="85" spans="1:27" ht="12" x14ac:dyDescent="0.2">
      <c r="B85" s="287" t="s">
        <v>86</v>
      </c>
      <c r="C85" s="172"/>
      <c r="D85" s="246"/>
      <c r="E85" s="114"/>
      <c r="F85" s="265"/>
      <c r="G85" s="172"/>
      <c r="H85" s="179"/>
      <c r="I85" s="172"/>
      <c r="J85" s="190"/>
      <c r="K85" s="114"/>
      <c r="L85" s="190"/>
      <c r="M85" s="830"/>
      <c r="N85" s="1110"/>
      <c r="O85" s="830"/>
      <c r="P85" s="1110"/>
      <c r="Q85" s="830"/>
      <c r="R85" s="1110"/>
      <c r="S85" s="830"/>
      <c r="T85" s="1110"/>
      <c r="U85" s="830"/>
      <c r="V85" s="1110"/>
      <c r="W85" s="885"/>
      <c r="X85" s="53"/>
      <c r="Y85" s="621"/>
    </row>
    <row r="86" spans="1:27" ht="12" x14ac:dyDescent="0.2">
      <c r="B86" s="47" t="s">
        <v>75</v>
      </c>
      <c r="C86" s="809">
        <f>Dean_Ed!G87+Ed_Leader!E84+'El_Ed "old"'!G76+'Sec_Ed "old"'!G85+'Spec_Ed, Couns &amp; Stu Affair'!G89</f>
        <v>40</v>
      </c>
      <c r="D86" s="194">
        <f>C86/SUM(C$86:C$88)</f>
        <v>0.39603960396039606</v>
      </c>
      <c r="E86" s="830">
        <f>Dean_Ed!I87+Ed_Leader!G84+'El_Ed "old"'!I76+'Sec_Ed "old"'!I85+'Spec_Ed, Couns &amp; Stu Affair'!I89</f>
        <v>34</v>
      </c>
      <c r="F86" s="194">
        <f>E86/SUM(E$86:E$88)</f>
        <v>0.34693877551020408</v>
      </c>
      <c r="G86" s="809">
        <f>Dean_Ed!K87+Ed_Leader!I84+'El_Ed "old"'!K76+'Sec_Ed "old"'!K85+'Spec_Ed, Couns &amp; Stu Affair'!K89</f>
        <v>47</v>
      </c>
      <c r="H86" s="194">
        <f>G86/SUM(G$86:G$88)</f>
        <v>0.4563106796116505</v>
      </c>
      <c r="I86" s="809">
        <f>Dean_Ed!M87+Ed_Leader!K84+'El_Ed "old"'!M76+'Sec_Ed "old"'!M85+'Spec_Ed, Couns &amp; Stu Affair'!M89</f>
        <v>34</v>
      </c>
      <c r="J86" s="194">
        <f>I86/SUM(I$86:I$88)</f>
        <v>0.35789473684210527</v>
      </c>
      <c r="K86" s="830">
        <f>Dean_Ed!O87+Ed_Leader!M84+'El_Ed "old"'!O76+'Sec_Ed "old"'!O85+'Spec_Ed, Couns &amp; Stu Affair'!O89</f>
        <v>35</v>
      </c>
      <c r="L86" s="194">
        <f>K86/SUM(K$86:K$88)</f>
        <v>0.38043478260869568</v>
      </c>
      <c r="M86" s="830">
        <f>Dean_Ed!Q87+Ed_Leader!O84+'Curriculum &amp; Instruction'!M95+'Spec_Ed, Couns &amp; Stu Affair'!Q89</f>
        <v>32</v>
      </c>
      <c r="N86" s="1110">
        <f t="shared" si="36"/>
        <v>0.36363636363636365</v>
      </c>
      <c r="O86" s="830">
        <f>Dean_Ed!S87+Ed_Leader!Q84+'Curriculum &amp; Instruction'!O95+'Spec_Ed, Couns &amp; Stu Affair'!S89</f>
        <v>28</v>
      </c>
      <c r="P86" s="1110">
        <f>O86/SUM(O$74:O$81)</f>
        <v>0.2978723404255319</v>
      </c>
      <c r="Q86" s="830">
        <f>Dean_Ed!U87+Ed_Leader!S84+'Curriculum &amp; Instruction'!Q95+'Spec_Ed, Couns &amp; Stu Affair'!U89</f>
        <v>34</v>
      </c>
      <c r="R86" s="1110">
        <f>Q86/SUM(Q$74:Q$81)</f>
        <v>0.33333333333333331</v>
      </c>
      <c r="S86" s="830">
        <f>Dean_Ed!W87+Ed_Leader!U84+'Curriculum &amp; Instruction'!S95+'Spec_Ed, Couns &amp; Stu Affair'!W89</f>
        <v>32</v>
      </c>
      <c r="T86" s="1110">
        <f>S86/SUM(S$74:S$81)</f>
        <v>0.27826086956521739</v>
      </c>
      <c r="U86" s="830">
        <f>Dean_Ed!Y87+Ed_Leader!W84+'Curriculum &amp; Instruction'!U95+'Spec_Ed, Couns &amp; Stu Affair'!Y89</f>
        <v>30</v>
      </c>
      <c r="V86" s="1110">
        <f>U86/SUM(U$74:U$81)</f>
        <v>0.24390243902439024</v>
      </c>
      <c r="W86" s="885"/>
      <c r="X86" s="53">
        <f t="shared" ref="X86:X88" si="39">AVERAGE(U86,S86,Q86,O86,M86)</f>
        <v>31.2</v>
      </c>
      <c r="Y86" s="621">
        <f t="shared" ref="Y86:Y88" si="40">AVERAGE(V86,T86,R86,P86,N86)</f>
        <v>0.3034010691969673</v>
      </c>
    </row>
    <row r="87" spans="1:27" ht="12" x14ac:dyDescent="0.2">
      <c r="B87" s="47" t="s">
        <v>76</v>
      </c>
      <c r="C87" s="809">
        <f>Dean_Ed!G88+Ed_Leader!E85+'El_Ed "old"'!G77+'Sec_Ed "old"'!G86+'Spec_Ed, Couns &amp; Stu Affair'!G90</f>
        <v>14</v>
      </c>
      <c r="D87" s="194">
        <f>C87/SUM(C$86:C$88)</f>
        <v>0.13861386138613863</v>
      </c>
      <c r="E87" s="830">
        <f>Dean_Ed!I88+Ed_Leader!G85+'El_Ed "old"'!I77+'Sec_Ed "old"'!I86+'Spec_Ed, Couns &amp; Stu Affair'!I90</f>
        <v>16</v>
      </c>
      <c r="F87" s="194">
        <f>E87/SUM(E$86:E$88)</f>
        <v>0.16326530612244897</v>
      </c>
      <c r="G87" s="809">
        <f>Dean_Ed!K88+Ed_Leader!I85+'El_Ed "old"'!K77+'Sec_Ed "old"'!K86+'Spec_Ed, Couns &amp; Stu Affair'!K90</f>
        <v>15</v>
      </c>
      <c r="H87" s="194">
        <f>G87/SUM(G$86:G$88)</f>
        <v>0.14563106796116504</v>
      </c>
      <c r="I87" s="809">
        <f>Dean_Ed!M88+Ed_Leader!K85+'El_Ed "old"'!M77+'Sec_Ed "old"'!M86+'Spec_Ed, Couns &amp; Stu Affair'!M90</f>
        <v>14</v>
      </c>
      <c r="J87" s="194">
        <f>I87/SUM(I$86:I$88)</f>
        <v>0.14736842105263157</v>
      </c>
      <c r="K87" s="830">
        <f>Dean_Ed!O88+Ed_Leader!M85+'El_Ed "old"'!O77+'Sec_Ed "old"'!O86+'Spec_Ed, Couns &amp; Stu Affair'!O90</f>
        <v>11</v>
      </c>
      <c r="L87" s="194">
        <f>K87/SUM(K$86:K$88)</f>
        <v>0.11956521739130435</v>
      </c>
      <c r="M87" s="830">
        <f>Dean_Ed!Q88+Ed_Leader!O85+'Curriculum &amp; Instruction'!M96+'Spec_Ed, Couns &amp; Stu Affair'!Q90</f>
        <v>10</v>
      </c>
      <c r="N87" s="1110">
        <f t="shared" si="36"/>
        <v>0.11363636363636363</v>
      </c>
      <c r="O87" s="830">
        <f>Dean_Ed!S88+Ed_Leader!Q85+'Curriculum &amp; Instruction'!O96+'Spec_Ed, Couns &amp; Stu Affair'!S90</f>
        <v>11</v>
      </c>
      <c r="P87" s="1110">
        <f>O87/SUM(O$74:O$81)</f>
        <v>0.11702127659574468</v>
      </c>
      <c r="Q87" s="830">
        <f>Dean_Ed!U88+Ed_Leader!S85+'Curriculum &amp; Instruction'!Q96+'Spec_Ed, Couns &amp; Stu Affair'!U90</f>
        <v>11</v>
      </c>
      <c r="R87" s="1110">
        <f>Q87/SUM(Q$74:Q$81)</f>
        <v>0.10784313725490197</v>
      </c>
      <c r="S87" s="830">
        <f>Dean_Ed!W88+Ed_Leader!U85+'Curriculum &amp; Instruction'!S96+'Spec_Ed, Couns &amp; Stu Affair'!W90</f>
        <v>12</v>
      </c>
      <c r="T87" s="1110">
        <f>S87/SUM(S$74:S$81)</f>
        <v>0.10434782608695652</v>
      </c>
      <c r="U87" s="830">
        <f>Dean_Ed!Y88+Ed_Leader!W85+'Curriculum &amp; Instruction'!U96+'Spec_Ed, Couns &amp; Stu Affair'!Y90</f>
        <v>13</v>
      </c>
      <c r="V87" s="1110">
        <f>U87/SUM(U$74:U$81)</f>
        <v>0.10569105691056911</v>
      </c>
      <c r="W87" s="885"/>
      <c r="X87" s="53">
        <f t="shared" si="39"/>
        <v>11.4</v>
      </c>
      <c r="Y87" s="621">
        <f t="shared" si="40"/>
        <v>0.10970793209690718</v>
      </c>
    </row>
    <row r="88" spans="1:27" ht="12" x14ac:dyDescent="0.2">
      <c r="B88" s="47" t="s">
        <v>77</v>
      </c>
      <c r="C88" s="809">
        <f>Dean_Ed!G89+Ed_Leader!E86+'El_Ed "old"'!G78+'Sec_Ed "old"'!G87+'Spec_Ed, Couns &amp; Stu Affair'!G91</f>
        <v>47</v>
      </c>
      <c r="D88" s="194">
        <f>C88/SUM(C$86:C$88)</f>
        <v>0.46534653465346537</v>
      </c>
      <c r="E88" s="830">
        <f>Dean_Ed!I89+Ed_Leader!G86+'El_Ed "old"'!I78+'Sec_Ed "old"'!I87+'Spec_Ed, Couns &amp; Stu Affair'!I91</f>
        <v>48</v>
      </c>
      <c r="F88" s="194">
        <f>E88/SUM(E$86:E$88)</f>
        <v>0.48979591836734693</v>
      </c>
      <c r="G88" s="809">
        <f>Dean_Ed!K89+Ed_Leader!I86+'El_Ed "old"'!K78+'Sec_Ed "old"'!K87+'Spec_Ed, Couns &amp; Stu Affair'!K91</f>
        <v>41</v>
      </c>
      <c r="H88" s="194">
        <f>G88/SUM(G$86:G$88)</f>
        <v>0.39805825242718446</v>
      </c>
      <c r="I88" s="809">
        <f>Dean_Ed!M89+Ed_Leader!K86+'El_Ed "old"'!M78+'Sec_Ed "old"'!M87+'Spec_Ed, Couns &amp; Stu Affair'!M91</f>
        <v>47</v>
      </c>
      <c r="J88" s="194">
        <f>I88/SUM(I$86:I$88)</f>
        <v>0.49473684210526314</v>
      </c>
      <c r="K88" s="809">
        <f>Dean_Ed!O89+Ed_Leader!M86+'El_Ed "old"'!O78+'Sec_Ed "old"'!O87+'Spec_Ed, Couns &amp; Stu Affair'!O91</f>
        <v>46</v>
      </c>
      <c r="L88" s="194">
        <f>K88/SUM(K$86:K$88)</f>
        <v>0.5</v>
      </c>
      <c r="M88" s="830">
        <f>Dean_Ed!Q89+Ed_Leader!O86+'Curriculum &amp; Instruction'!M97+'Spec_Ed, Couns &amp; Stu Affair'!Q91</f>
        <v>46</v>
      </c>
      <c r="N88" s="1110">
        <f t="shared" si="36"/>
        <v>0.52272727272727271</v>
      </c>
      <c r="O88" s="830">
        <f>Dean_Ed!S89+Ed_Leader!Q86+'Curriculum &amp; Instruction'!O97+'Spec_Ed, Couns &amp; Stu Affair'!S91</f>
        <v>55</v>
      </c>
      <c r="P88" s="1110">
        <f>O88/SUM(O$74:O$81)</f>
        <v>0.58510638297872342</v>
      </c>
      <c r="Q88" s="830">
        <f>Dean_Ed!U89+Ed_Leader!S86+'Curriculum &amp; Instruction'!Q97+'Spec_Ed, Couns &amp; Stu Affair'!U91</f>
        <v>57</v>
      </c>
      <c r="R88" s="1110">
        <f>Q88/SUM(Q$74:Q$81)</f>
        <v>0.55882352941176472</v>
      </c>
      <c r="S88" s="830">
        <f>Dean_Ed!W89+Ed_Leader!U86+'Curriculum &amp; Instruction'!S97+'Spec_Ed, Couns &amp; Stu Affair'!W91</f>
        <v>71</v>
      </c>
      <c r="T88" s="1110">
        <f>S88/SUM(S$74:S$81)</f>
        <v>0.61739130434782608</v>
      </c>
      <c r="U88" s="830">
        <f>Dean_Ed!Y89+Ed_Leader!W86+'Curriculum &amp; Instruction'!U97+'Spec_Ed, Couns &amp; Stu Affair'!Y91</f>
        <v>80</v>
      </c>
      <c r="V88" s="1110">
        <f>U88/SUM(U$74:U$81)</f>
        <v>0.65040650406504064</v>
      </c>
      <c r="W88" s="885"/>
      <c r="X88" s="53">
        <f t="shared" si="39"/>
        <v>61.8</v>
      </c>
      <c r="Y88" s="621">
        <f t="shared" si="40"/>
        <v>0.58689099870612549</v>
      </c>
    </row>
    <row r="89" spans="1:27" ht="12" x14ac:dyDescent="0.2">
      <c r="B89" s="287" t="s">
        <v>87</v>
      </c>
      <c r="C89" s="172"/>
      <c r="D89" s="246"/>
      <c r="E89" s="114"/>
      <c r="F89" s="265"/>
      <c r="G89" s="172"/>
      <c r="H89" s="179"/>
      <c r="I89" s="172"/>
      <c r="J89" s="190"/>
      <c r="K89" s="114"/>
      <c r="L89" s="190"/>
      <c r="M89" s="830"/>
      <c r="N89" s="1110"/>
      <c r="O89" s="830"/>
      <c r="P89" s="1110"/>
      <c r="Q89" s="830"/>
      <c r="R89" s="1110"/>
      <c r="S89" s="830"/>
      <c r="T89" s="1110"/>
      <c r="U89" s="830"/>
      <c r="V89" s="1110"/>
      <c r="W89" s="885"/>
      <c r="X89" s="53"/>
      <c r="Y89" s="621"/>
    </row>
    <row r="90" spans="1:27" ht="12" x14ac:dyDescent="0.2">
      <c r="B90" s="47" t="s">
        <v>78</v>
      </c>
      <c r="C90" s="809">
        <f>Dean_Ed!G91+Ed_Leader!E88+'El_Ed "old"'!G80+'Sec_Ed "old"'!G89+'Spec_Ed, Couns &amp; Stu Affair'!G93</f>
        <v>64</v>
      </c>
      <c r="D90" s="194">
        <f>C90/SUM(C$90:C$93)</f>
        <v>0.63366336633663367</v>
      </c>
      <c r="E90" s="830">
        <f>Dean_Ed!I91+Ed_Leader!G88+'El_Ed "old"'!I80+'Sec_Ed "old"'!I89+'Spec_Ed, Couns &amp; Stu Affair'!I93</f>
        <v>62</v>
      </c>
      <c r="F90" s="194">
        <f>E90/SUM(E$90:E$93)</f>
        <v>0.63265306122448983</v>
      </c>
      <c r="G90" s="809">
        <f>Dean_Ed!K91+Ed_Leader!I88+'El_Ed "old"'!K80+'Sec_Ed "old"'!K89+'Spec_Ed, Couns &amp; Stu Affair'!K93</f>
        <v>67</v>
      </c>
      <c r="H90" s="194">
        <f>G90/SUM(G$90:G$93)</f>
        <v>0.65048543689320393</v>
      </c>
      <c r="I90" s="809">
        <f>Dean_Ed!M91+Ed_Leader!K88+'El_Ed "old"'!M80+'Sec_Ed "old"'!M89+'Spec_Ed, Couns &amp; Stu Affair'!M93</f>
        <v>60</v>
      </c>
      <c r="J90" s="194">
        <f>I90/SUM(I$90:I$93)</f>
        <v>0.63157894736842102</v>
      </c>
      <c r="K90" s="809">
        <f>Dean_Ed!O91+Ed_Leader!M88+'El_Ed "old"'!O80+'Sec_Ed "old"'!O89+'Spec_Ed, Couns &amp; Stu Affair'!O93</f>
        <v>55</v>
      </c>
      <c r="L90" s="194">
        <f>K90/SUM(K$90:K$93)</f>
        <v>0.59782608695652173</v>
      </c>
      <c r="M90" s="830">
        <f>Dean_Ed!Q91+Ed_Leader!O88+'Curriculum &amp; Instruction'!M99+'Spec_Ed, Couns &amp; Stu Affair'!Q93</f>
        <v>54</v>
      </c>
      <c r="N90" s="1110">
        <f t="shared" si="36"/>
        <v>0.61363636363636365</v>
      </c>
      <c r="O90" s="830">
        <f>Dean_Ed!S91+Ed_Leader!Q88+'Curriculum &amp; Instruction'!O99+'Spec_Ed, Couns &amp; Stu Affair'!S93</f>
        <v>55</v>
      </c>
      <c r="P90" s="1110">
        <f>O90/SUM(O$74:O$81)</f>
        <v>0.58510638297872342</v>
      </c>
      <c r="Q90" s="830">
        <f>Dean_Ed!U91+Ed_Leader!S88+'Curriculum &amp; Instruction'!Q99+'Spec_Ed, Couns &amp; Stu Affair'!U93</f>
        <v>62</v>
      </c>
      <c r="R90" s="1110">
        <f>Q90/SUM(Q$74:Q$81)</f>
        <v>0.60784313725490191</v>
      </c>
      <c r="S90" s="830">
        <f>Dean_Ed!W91+Ed_Leader!U88+'Curriculum &amp; Instruction'!S99+'Spec_Ed, Couns &amp; Stu Affair'!W93</f>
        <v>66</v>
      </c>
      <c r="T90" s="1110">
        <f>S90/SUM(S$74:S$81)</f>
        <v>0.57391304347826089</v>
      </c>
      <c r="U90" s="830">
        <f>Dean_Ed!Y91+Ed_Leader!W88+'Curriculum &amp; Instruction'!U99+'Spec_Ed, Couns &amp; Stu Affair'!Y93</f>
        <v>70</v>
      </c>
      <c r="V90" s="1110">
        <f>U90/SUM(U$74:U$81)</f>
        <v>0.56910569105691056</v>
      </c>
      <c r="W90" s="885"/>
      <c r="X90" s="53">
        <f t="shared" ref="X90:X93" si="41">AVERAGE(U90,S90,Q90,O90,M90)</f>
        <v>61.4</v>
      </c>
      <c r="Y90" s="621">
        <f t="shared" ref="Y90:Y93" si="42">AVERAGE(V90,T90,R90,P90,N90)</f>
        <v>0.58992092368103211</v>
      </c>
    </row>
    <row r="91" spans="1:27" ht="12" x14ac:dyDescent="0.2">
      <c r="B91" s="47" t="s">
        <v>79</v>
      </c>
      <c r="C91" s="809">
        <f>Dean_Ed!G92+Ed_Leader!E89+'El_Ed "old"'!G81+'Sec_Ed "old"'!G90+'Spec_Ed, Couns &amp; Stu Affair'!G94</f>
        <v>34</v>
      </c>
      <c r="D91" s="194">
        <f>C91/SUM(C$90:C$93)</f>
        <v>0.33663366336633666</v>
      </c>
      <c r="E91" s="830">
        <f>Dean_Ed!I92+Ed_Leader!G89+'El_Ed "old"'!I81+'Sec_Ed "old"'!I90+'Spec_Ed, Couns &amp; Stu Affair'!I94</f>
        <v>34</v>
      </c>
      <c r="F91" s="194">
        <f>E91/SUM(E$90:E$93)</f>
        <v>0.34693877551020408</v>
      </c>
      <c r="G91" s="809">
        <f>Dean_Ed!K92+Ed_Leader!I89+'El_Ed "old"'!K81+'Sec_Ed "old"'!K90+'Spec_Ed, Couns &amp; Stu Affair'!K94</f>
        <v>31</v>
      </c>
      <c r="H91" s="194">
        <f>G91/SUM(G$90:G$93)</f>
        <v>0.30097087378640774</v>
      </c>
      <c r="I91" s="809">
        <f>Dean_Ed!M92+Ed_Leader!K89+'El_Ed "old"'!M81+'Sec_Ed "old"'!M90+'Spec_Ed, Couns &amp; Stu Affair'!M94</f>
        <v>30</v>
      </c>
      <c r="J91" s="194">
        <f>I91/SUM(I$90:I$93)</f>
        <v>0.31578947368421051</v>
      </c>
      <c r="K91" s="809">
        <f>Dean_Ed!O92+Ed_Leader!M89+'El_Ed "old"'!O81+'Sec_Ed "old"'!O90+'Spec_Ed, Couns &amp; Stu Affair'!O94</f>
        <v>34</v>
      </c>
      <c r="L91" s="194">
        <f>K91/SUM(K$90:K$93)</f>
        <v>0.36956521739130432</v>
      </c>
      <c r="M91" s="830">
        <f>Dean_Ed!Q92+Ed_Leader!O89+'Curriculum &amp; Instruction'!M100+'Spec_Ed, Couns &amp; Stu Affair'!Q94</f>
        <v>30</v>
      </c>
      <c r="N91" s="1110">
        <f t="shared" si="36"/>
        <v>0.34090909090909088</v>
      </c>
      <c r="O91" s="830">
        <f>Dean_Ed!S92+Ed_Leader!Q89+'Curriculum &amp; Instruction'!O100+'Spec_Ed, Couns &amp; Stu Affair'!S94</f>
        <v>37</v>
      </c>
      <c r="P91" s="1110">
        <f>O91/SUM(O$74:O$81)</f>
        <v>0.39361702127659576</v>
      </c>
      <c r="Q91" s="830">
        <f>Dean_Ed!U92+Ed_Leader!S89+'Curriculum &amp; Instruction'!Q100+'Spec_Ed, Couns &amp; Stu Affair'!U94</f>
        <v>37</v>
      </c>
      <c r="R91" s="1110">
        <f>Q91/SUM(Q$74:Q$81)</f>
        <v>0.36274509803921567</v>
      </c>
      <c r="S91" s="830">
        <f>Dean_Ed!W92+Ed_Leader!U89+'Curriculum &amp; Instruction'!S100+'Spec_Ed, Couns &amp; Stu Affair'!W94</f>
        <v>45</v>
      </c>
      <c r="T91" s="1110">
        <f>S91/SUM(S$74:S$81)</f>
        <v>0.39130434782608697</v>
      </c>
      <c r="U91" s="830">
        <f>Dean_Ed!Y92+Ed_Leader!W89+'Curriculum &amp; Instruction'!U100+'Spec_Ed, Couns &amp; Stu Affair'!Y94</f>
        <v>47</v>
      </c>
      <c r="V91" s="1110">
        <f>U91/SUM(U$74:U$81)</f>
        <v>0.38211382113821141</v>
      </c>
      <c r="W91" s="885"/>
      <c r="X91" s="53">
        <f t="shared" si="41"/>
        <v>39.200000000000003</v>
      </c>
      <c r="Y91" s="621">
        <f t="shared" si="42"/>
        <v>0.37413787583784008</v>
      </c>
    </row>
    <row r="92" spans="1:27" ht="12" x14ac:dyDescent="0.2">
      <c r="B92" s="47" t="s">
        <v>80</v>
      </c>
      <c r="C92" s="809">
        <f>Dean_Ed!G93+Ed_Leader!E90+'El_Ed "old"'!G82+'Sec_Ed "old"'!G91+'Spec_Ed, Couns &amp; Stu Affair'!G95</f>
        <v>3</v>
      </c>
      <c r="D92" s="194">
        <f>C92/SUM(C$90:C$93)</f>
        <v>2.9702970297029702E-2</v>
      </c>
      <c r="E92" s="830">
        <f>Dean_Ed!I93+Ed_Leader!G90+'El_Ed "old"'!I82+'Sec_Ed "old"'!I91+'Spec_Ed, Couns &amp; Stu Affair'!I95</f>
        <v>2</v>
      </c>
      <c r="F92" s="194">
        <f>E92/SUM(E$90:E$93)</f>
        <v>2.0408163265306121E-2</v>
      </c>
      <c r="G92" s="809">
        <f>Dean_Ed!K93+Ed_Leader!I90+'El_Ed "old"'!K82+'Sec_Ed "old"'!K91+'Spec_Ed, Couns &amp; Stu Affair'!K95</f>
        <v>5</v>
      </c>
      <c r="H92" s="194">
        <f>G92/SUM(G$90:G$93)</f>
        <v>4.8543689320388349E-2</v>
      </c>
      <c r="I92" s="809">
        <f>Dean_Ed!M93+Ed_Leader!K90+'El_Ed "old"'!M82+'Sec_Ed "old"'!M91+'Spec_Ed, Couns &amp; Stu Affair'!M95</f>
        <v>5</v>
      </c>
      <c r="J92" s="194">
        <f>I92/SUM(I$90:I$93)</f>
        <v>5.2631578947368418E-2</v>
      </c>
      <c r="K92" s="809">
        <f>Dean_Ed!O93+Ed_Leader!M90+'El_Ed "old"'!O82+'Sec_Ed "old"'!O91+'Spec_Ed, Couns &amp; Stu Affair'!O95</f>
        <v>3</v>
      </c>
      <c r="L92" s="194">
        <f>K92/SUM(K$90:K$93)</f>
        <v>3.2608695652173912E-2</v>
      </c>
      <c r="M92" s="830">
        <f>Dean_Ed!Q93+Ed_Leader!O90+'Curriculum &amp; Instruction'!M101+'Spec_Ed, Couns &amp; Stu Affair'!Q95</f>
        <v>4</v>
      </c>
      <c r="N92" s="1110">
        <f t="shared" si="36"/>
        <v>4.5454545454545456E-2</v>
      </c>
      <c r="O92" s="830">
        <f>Dean_Ed!S93+Ed_Leader!Q90+'Curriculum &amp; Instruction'!O101+'Spec_Ed, Couns &amp; Stu Affair'!S95</f>
        <v>2</v>
      </c>
      <c r="P92" s="1110">
        <f>O92/SUM(O$74:O$81)</f>
        <v>2.1276595744680851E-2</v>
      </c>
      <c r="Q92" s="830">
        <f>Dean_Ed!U93+Ed_Leader!S90+'Curriculum &amp; Instruction'!Q101+'Spec_Ed, Couns &amp; Stu Affair'!U95</f>
        <v>3</v>
      </c>
      <c r="R92" s="1110">
        <f>Q92/SUM(Q$74:Q$81)</f>
        <v>2.9411764705882353E-2</v>
      </c>
      <c r="S92" s="830">
        <f>Dean_Ed!W93+Ed_Leader!U90+'Curriculum &amp; Instruction'!S101+'Spec_Ed, Couns &amp; Stu Affair'!W95</f>
        <v>4</v>
      </c>
      <c r="T92" s="1110">
        <f>S92/SUM(S$74:S$81)</f>
        <v>3.4782608695652174E-2</v>
      </c>
      <c r="U92" s="830">
        <f>Dean_Ed!Y93+Ed_Leader!W90+'Curriculum &amp; Instruction'!U101+'Spec_Ed, Couns &amp; Stu Affair'!Y95</f>
        <v>6</v>
      </c>
      <c r="V92" s="1110">
        <f>U92/SUM(U$74:U$81)</f>
        <v>4.878048780487805E-2</v>
      </c>
      <c r="W92" s="885"/>
      <c r="X92" s="53">
        <f t="shared" si="41"/>
        <v>3.8</v>
      </c>
      <c r="Y92" s="621">
        <f t="shared" si="42"/>
        <v>3.5941200481127776E-2</v>
      </c>
    </row>
    <row r="93" spans="1:27" thickBot="1" x14ac:dyDescent="0.25">
      <c r="B93" s="48" t="s">
        <v>81</v>
      </c>
      <c r="C93" s="809">
        <f>Dean_Ed!G94+Ed_Leader!E91+'El_Ed "old"'!G83+'Sec_Ed "old"'!G92+'Spec_Ed, Couns &amp; Stu Affair'!G96</f>
        <v>0</v>
      </c>
      <c r="D93" s="194">
        <f>C93/SUM(C$90:C$93)</f>
        <v>0</v>
      </c>
      <c r="E93" s="830">
        <f>Dean_Ed!I94+Ed_Leader!G91+'El_Ed "old"'!I83+'Sec_Ed "old"'!I92+'Spec_Ed, Couns &amp; Stu Affair'!I96</f>
        <v>0</v>
      </c>
      <c r="F93" s="194">
        <f>E93/SUM(E$90:E$93)</f>
        <v>0</v>
      </c>
      <c r="G93" s="809">
        <f>Dean_Ed!K94+Ed_Leader!I91+'El_Ed "old"'!K83+'Sec_Ed "old"'!K92+'Spec_Ed, Couns &amp; Stu Affair'!K96</f>
        <v>0</v>
      </c>
      <c r="H93" s="194">
        <f>G93/SUM(G$90:G$93)</f>
        <v>0</v>
      </c>
      <c r="I93" s="809">
        <f>Dean_Ed!M94+Ed_Leader!K91+'El_Ed "old"'!M83+'Sec_Ed "old"'!M92+'Spec_Ed, Couns &amp; Stu Affair'!M96</f>
        <v>0</v>
      </c>
      <c r="J93" s="194">
        <f>I93/SUM(I$90:I$93)</f>
        <v>0</v>
      </c>
      <c r="K93" s="809">
        <f>Dean_Ed!O94+Ed_Leader!M91+'El_Ed "old"'!O83+'Sec_Ed "old"'!O92+'Spec_Ed, Couns &amp; Stu Affair'!O96</f>
        <v>0</v>
      </c>
      <c r="L93" s="194">
        <f>K93/SUM(K$90:K$93)</f>
        <v>0</v>
      </c>
      <c r="M93" s="830">
        <f>Dean_Ed!Q94+Ed_Leader!O91+'Curriculum &amp; Instruction'!M102+'Spec_Ed, Couns &amp; Stu Affair'!Q96</f>
        <v>0</v>
      </c>
      <c r="N93" s="1110">
        <f t="shared" si="36"/>
        <v>0</v>
      </c>
      <c r="O93" s="830">
        <f>Dean_Ed!S94+Ed_Leader!Q91+'Curriculum &amp; Instruction'!O102+'Spec_Ed, Couns &amp; Stu Affair'!S96</f>
        <v>0</v>
      </c>
      <c r="P93" s="1110">
        <f>O93/SUM(O$74:O$81)</f>
        <v>0</v>
      </c>
      <c r="Q93" s="830">
        <f>Dean_Ed!U94+Ed_Leader!S91+'Curriculum &amp; Instruction'!Q102+'Spec_Ed, Couns &amp; Stu Affair'!U96</f>
        <v>0</v>
      </c>
      <c r="R93" s="1110">
        <f>Q93/SUM(Q$74:Q$81)</f>
        <v>0</v>
      </c>
      <c r="S93" s="830">
        <f>Dean_Ed!W94+Ed_Leader!U91+'Curriculum &amp; Instruction'!S102+'Spec_Ed, Couns &amp; Stu Affair'!W96</f>
        <v>0</v>
      </c>
      <c r="T93" s="1110">
        <f>S93/SUM(S$74:S$81)</f>
        <v>0</v>
      </c>
      <c r="U93" s="830">
        <f>Dean_Ed!Y94+Ed_Leader!W91+'Curriculum &amp; Instruction'!U102+'Spec_Ed, Couns &amp; Stu Affair'!Y96</f>
        <v>0</v>
      </c>
      <c r="V93" s="1110">
        <f>U93/SUM(U$74:U$81)</f>
        <v>0</v>
      </c>
      <c r="W93" s="885"/>
      <c r="X93" s="53">
        <f t="shared" si="41"/>
        <v>0</v>
      </c>
      <c r="Y93" s="636">
        <f t="shared" si="42"/>
        <v>0</v>
      </c>
    </row>
    <row r="94" spans="1:27" customFormat="1" ht="14.25" thickTop="1" thickBot="1" x14ac:dyDescent="0.25">
      <c r="A94" s="430"/>
      <c r="B94" s="512" t="s">
        <v>112</v>
      </c>
      <c r="C94" s="1249" t="s">
        <v>110</v>
      </c>
      <c r="D94" s="1257"/>
      <c r="E94" s="1249" t="s">
        <v>111</v>
      </c>
      <c r="F94" s="1257"/>
      <c r="G94" s="1249" t="s">
        <v>128</v>
      </c>
      <c r="H94" s="1257"/>
      <c r="I94" s="1254" t="s">
        <v>129</v>
      </c>
      <c r="J94" s="1219"/>
      <c r="K94" s="1218" t="s">
        <v>156</v>
      </c>
      <c r="L94" s="1219"/>
      <c r="M94" s="1218" t="s">
        <v>161</v>
      </c>
      <c r="N94" s="1219"/>
      <c r="O94" s="1218" t="s">
        <v>180</v>
      </c>
      <c r="P94" s="1219"/>
      <c r="Q94" s="1218" t="s">
        <v>190</v>
      </c>
      <c r="R94" s="1219"/>
      <c r="S94" s="1218" t="s">
        <v>195</v>
      </c>
      <c r="T94" s="1219"/>
      <c r="U94" s="1218" t="s">
        <v>199</v>
      </c>
      <c r="V94" s="1219"/>
      <c r="W94" s="22"/>
      <c r="X94" s="1250" t="s">
        <v>142</v>
      </c>
      <c r="Y94" s="1251"/>
      <c r="Z94" s="432"/>
      <c r="AA94" s="432"/>
    </row>
    <row r="95" spans="1:27" customFormat="1" x14ac:dyDescent="0.2">
      <c r="A95" s="430"/>
      <c r="B95" s="513"/>
      <c r="C95" s="514" t="s">
        <v>82</v>
      </c>
      <c r="D95" s="579" t="s">
        <v>17</v>
      </c>
      <c r="E95" s="514" t="s">
        <v>82</v>
      </c>
      <c r="F95" s="515" t="s">
        <v>17</v>
      </c>
      <c r="G95" s="514" t="s">
        <v>82</v>
      </c>
      <c r="H95" s="515" t="s">
        <v>17</v>
      </c>
      <c r="I95" s="514" t="s">
        <v>82</v>
      </c>
      <c r="J95" s="515" t="s">
        <v>17</v>
      </c>
      <c r="K95" s="514" t="s">
        <v>82</v>
      </c>
      <c r="L95" s="515" t="s">
        <v>17</v>
      </c>
      <c r="M95" s="751" t="s">
        <v>82</v>
      </c>
      <c r="N95" s="515" t="s">
        <v>17</v>
      </c>
      <c r="O95" s="751" t="s">
        <v>82</v>
      </c>
      <c r="P95" s="515" t="s">
        <v>17</v>
      </c>
      <c r="Q95" s="751" t="s">
        <v>82</v>
      </c>
      <c r="R95" s="515" t="s">
        <v>17</v>
      </c>
      <c r="S95" s="751" t="s">
        <v>82</v>
      </c>
      <c r="T95" s="515" t="s">
        <v>17</v>
      </c>
      <c r="U95" s="751" t="s">
        <v>82</v>
      </c>
      <c r="V95" s="515" t="s">
        <v>17</v>
      </c>
      <c r="W95" s="22"/>
      <c r="X95" s="638" t="s">
        <v>82</v>
      </c>
      <c r="Y95" s="639" t="s">
        <v>17</v>
      </c>
      <c r="Z95" s="432"/>
      <c r="AA95" s="432"/>
    </row>
    <row r="96" spans="1:27" customFormat="1" x14ac:dyDescent="0.2">
      <c r="A96" s="430"/>
      <c r="B96" s="283" t="s">
        <v>113</v>
      </c>
      <c r="C96" s="517">
        <f>Dean_Ed!G97+Ed_Leader!E94+'El_Ed "old"'!G86+'Sec_Ed "old"'!G95+'Spec_Ed, Couns &amp; Stu Affair'!G99</f>
        <v>16</v>
      </c>
      <c r="D96" s="518">
        <f>Dean_Ed!H97+Ed_Leader!F94+'El_Ed "old"'!H86+'Sec_Ed "old"'!H95+'Spec_Ed, Couns &amp; Stu Affair'!H99</f>
        <v>8</v>
      </c>
      <c r="E96" s="517">
        <f>Dean_Ed!I97+Ed_Leader!G94+'El_Ed "old"'!I86+'Sec_Ed "old"'!I95+'Spec_Ed, Couns &amp; Stu Affair'!I99</f>
        <v>11</v>
      </c>
      <c r="F96" s="518">
        <f>Dean_Ed!J97+Ed_Leader!H94+'El_Ed "old"'!J86+'Sec_Ed "old"'!J95+'Spec_Ed, Couns &amp; Stu Affair'!J99</f>
        <v>5.25</v>
      </c>
      <c r="G96" s="517">
        <f>Dean_Ed!K97+Ed_Leader!I94+'El_Ed "old"'!K86+'Sec_Ed "old"'!K95+'Spec_Ed, Couns &amp; Stu Affair'!K99</f>
        <v>12</v>
      </c>
      <c r="H96" s="518">
        <f>Dean_Ed!L97+Ed_Leader!J94+'El_Ed "old"'!L86+'Sec_Ed "old"'!L95+'Spec_Ed, Couns &amp; Stu Affair'!L99</f>
        <v>6</v>
      </c>
      <c r="I96" s="517">
        <f>Dean_Ed!M97+Ed_Leader!K94+'El_Ed "old"'!M86+'Sec_Ed "old"'!M95+'Spec_Ed, Couns &amp; Stu Affair'!M99</f>
        <v>7</v>
      </c>
      <c r="J96" s="518">
        <f>Dean_Ed!N97+Ed_Leader!L94+'El_Ed "old"'!N86+'Sec_Ed "old"'!N95+'Spec_Ed, Couns &amp; Stu Affair'!N99</f>
        <v>3.5</v>
      </c>
      <c r="K96" s="517">
        <f>Dean_Ed!O97+Ed_Leader!M94+'El_Ed "old"'!O86+'Sec_Ed "old"'!O95+'Spec_Ed, Couns &amp; Stu Affair'!O99</f>
        <v>9</v>
      </c>
      <c r="L96" s="518">
        <f>Dean_Ed!P97+Ed_Leader!N94+'El_Ed "old"'!P86+'Sec_Ed "old"'!P95+'Spec_Ed, Couns &amp; Stu Affair'!P99</f>
        <v>4.5</v>
      </c>
      <c r="M96" s="517">
        <f>Dean_Ed!Q97+Ed_Leader!O94+'Curriculum &amp; Instruction'!M105+'Spec_Ed, Couns &amp; Stu Affair'!Q99</f>
        <v>8</v>
      </c>
      <c r="N96" s="518">
        <f>Dean_Ed!R97+Ed_Leader!P94+'Curriculum &amp; Instruction'!N105+'Spec_Ed, Couns &amp; Stu Affair'!R99</f>
        <v>3.75</v>
      </c>
      <c r="O96" s="517">
        <f>Dean_Ed!S97+Ed_Leader!Q94+'Curriculum &amp; Instruction'!O105+'Spec_Ed, Couns &amp; Stu Affair'!S99</f>
        <v>11</v>
      </c>
      <c r="P96" s="518">
        <f>Dean_Ed!T97+Ed_Leader!R94+'Curriculum &amp; Instruction'!P105+'Spec_Ed, Couns &amp; Stu Affair'!T99</f>
        <v>9.4</v>
      </c>
      <c r="Q96" s="517">
        <f>Dean_Ed!U97+Ed_Leader!S94+'Curriculum &amp; Instruction'!Q105+'Spec_Ed, Couns &amp; Stu Affair'!U99</f>
        <v>9</v>
      </c>
      <c r="R96" s="518">
        <f>Dean_Ed!V97+Ed_Leader!T94+'Curriculum &amp; Instruction'!R105+'Spec_Ed, Couns &amp; Stu Affair'!V99</f>
        <v>4.5</v>
      </c>
      <c r="S96" s="517">
        <f>Dean_Ed!W97+Ed_Leader!U94+'Curriculum &amp; Instruction'!S105+'Spec_Ed, Couns &amp; Stu Affair'!W99</f>
        <v>6</v>
      </c>
      <c r="T96" s="518">
        <f>Dean_Ed!X97+Ed_Leader!V94+'Curriculum &amp; Instruction'!T105+'Spec_Ed, Couns &amp; Stu Affair'!X99</f>
        <v>3</v>
      </c>
      <c r="U96" s="517">
        <f>Dean_Ed!Y97+Ed_Leader!W94+'Curriculum &amp; Instruction'!U105+'Spec_Ed, Couns &amp; Stu Affair'!Y99</f>
        <v>10</v>
      </c>
      <c r="V96" s="518">
        <f>Dean_Ed!Z97+Ed_Leader!X94+'Curriculum &amp; Instruction'!V105+'Spec_Ed, Couns &amp; Stu Affair'!Z99</f>
        <v>4.8</v>
      </c>
      <c r="W96" s="22"/>
      <c r="X96" s="652">
        <f t="shared" ref="X96:X98" si="43">AVERAGE(U96,S96,Q96,O96,M96)</f>
        <v>8.8000000000000007</v>
      </c>
      <c r="Y96" s="1113">
        <f>AVERAGE(V96,T96,R96,P96,N96)</f>
        <v>5.0900000000000007</v>
      </c>
      <c r="Z96" s="269"/>
      <c r="AA96" s="432"/>
    </row>
    <row r="97" spans="1:27" customFormat="1" x14ac:dyDescent="0.2">
      <c r="A97" s="430"/>
      <c r="B97" s="283" t="s">
        <v>114</v>
      </c>
      <c r="C97" s="517">
        <f>Dean_Ed!G98+Ed_Leader!E95+'El_Ed "old"'!G87+'Sec_Ed "old"'!G96+'Spec_Ed, Couns &amp; Stu Affair'!G100</f>
        <v>20</v>
      </c>
      <c r="D97" s="518">
        <f>Dean_Ed!H98+Ed_Leader!F95+'El_Ed "old"'!H87+'Sec_Ed "old"'!H96+'Spec_Ed, Couns &amp; Stu Affair'!H100</f>
        <v>10</v>
      </c>
      <c r="E97" s="517">
        <f>Dean_Ed!I98+Ed_Leader!G95+'El_Ed "old"'!I87+'Sec_Ed "old"'!I96+'Spec_Ed, Couns &amp; Stu Affair'!I100</f>
        <v>20</v>
      </c>
      <c r="F97" s="518">
        <f>Dean_Ed!J98+Ed_Leader!H95+'El_Ed "old"'!J87+'Sec_Ed "old"'!J96+'Spec_Ed, Couns &amp; Stu Affair'!J100</f>
        <v>9.35</v>
      </c>
      <c r="G97" s="517">
        <f>Dean_Ed!K98+Ed_Leader!I95+'El_Ed "old"'!K87+'Sec_Ed "old"'!K96+'Spec_Ed, Couns &amp; Stu Affair'!K100</f>
        <v>16</v>
      </c>
      <c r="H97" s="518">
        <f>Dean_Ed!L98+Ed_Leader!J95+'El_Ed "old"'!L87+'Sec_Ed "old"'!L96+'Spec_Ed, Couns &amp; Stu Affair'!L100</f>
        <v>7.6</v>
      </c>
      <c r="I97" s="517">
        <f>Dean_Ed!M98+Ed_Leader!K95+'El_Ed "old"'!M87+'Sec_Ed "old"'!M96+'Spec_Ed, Couns &amp; Stu Affair'!M100</f>
        <v>12</v>
      </c>
      <c r="J97" s="518">
        <f>Dean_Ed!N98+Ed_Leader!L95+'El_Ed "old"'!N87+'Sec_Ed "old"'!N96+'Spec_Ed, Couns &amp; Stu Affair'!N100</f>
        <v>6</v>
      </c>
      <c r="K97" s="517">
        <f>Dean_Ed!O98+Ed_Leader!M95+'El_Ed "old"'!O87+'Sec_Ed "old"'!O96+'Spec_Ed, Couns &amp; Stu Affair'!O100</f>
        <v>12</v>
      </c>
      <c r="L97" s="518">
        <f>Dean_Ed!P98+Ed_Leader!N95+'El_Ed "old"'!P87+'Sec_Ed "old"'!P96+'Spec_Ed, Couns &amp; Stu Affair'!P100</f>
        <v>5.9</v>
      </c>
      <c r="M97" s="517">
        <f>Dean_Ed!Q98+Ed_Leader!O95+'Curriculum &amp; Instruction'!M106+'Spec_Ed, Couns &amp; Stu Affair'!Q100</f>
        <v>17</v>
      </c>
      <c r="N97" s="518">
        <f>Dean_Ed!R98+Ed_Leader!P95+'Curriculum &amp; Instruction'!N106+'Spec_Ed, Couns &amp; Stu Affair'!R100</f>
        <v>8.5</v>
      </c>
      <c r="O97" s="517">
        <f>Dean_Ed!S98+Ed_Leader!Q95+'Curriculum &amp; Instruction'!O106+'Spec_Ed, Couns &amp; Stu Affair'!S100</f>
        <v>17</v>
      </c>
      <c r="P97" s="518">
        <f>Dean_Ed!T98+Ed_Leader!R95+'Curriculum &amp; Instruction'!P106+'Spec_Ed, Couns &amp; Stu Affair'!T100</f>
        <v>7.6</v>
      </c>
      <c r="Q97" s="517">
        <f>Dean_Ed!U98+Ed_Leader!S95+'Curriculum &amp; Instruction'!Q106+'Spec_Ed, Couns &amp; Stu Affair'!U100</f>
        <v>14</v>
      </c>
      <c r="R97" s="518">
        <f>Dean_Ed!V98+Ed_Leader!T95+'Curriculum &amp; Instruction'!R106+'Spec_Ed, Couns &amp; Stu Affair'!V100</f>
        <v>7</v>
      </c>
      <c r="S97" s="517">
        <f>Dean_Ed!W98+Ed_Leader!U95+'Curriculum &amp; Instruction'!S106+'Spec_Ed, Couns &amp; Stu Affair'!W100</f>
        <v>16</v>
      </c>
      <c r="T97" s="518">
        <f>Dean_Ed!X98+Ed_Leader!V95+'Curriculum &amp; Instruction'!T106+'Spec_Ed, Couns &amp; Stu Affair'!X100</f>
        <v>8</v>
      </c>
      <c r="U97" s="517">
        <f>Dean_Ed!Y98+Ed_Leader!W95+'Curriculum &amp; Instruction'!U106+'Spec_Ed, Couns &amp; Stu Affair'!Y100</f>
        <v>16</v>
      </c>
      <c r="V97" s="518">
        <f>Dean_Ed!Z98+Ed_Leader!X95+'Curriculum &amp; Instruction'!V106+'Spec_Ed, Couns &amp; Stu Affair'!Z100</f>
        <v>8</v>
      </c>
      <c r="W97" s="22"/>
      <c r="X97" s="652">
        <f t="shared" si="43"/>
        <v>16</v>
      </c>
      <c r="Y97" s="1113">
        <f t="shared" ref="Y97:Y98" si="44">AVERAGE(V97,T97,R97,P97,N97)</f>
        <v>7.82</v>
      </c>
      <c r="Z97" s="1"/>
      <c r="AA97" s="1"/>
    </row>
    <row r="98" spans="1:27" customFormat="1" ht="13.5" thickBot="1" x14ac:dyDescent="0.25">
      <c r="A98" s="430"/>
      <c r="B98" s="519" t="s">
        <v>137</v>
      </c>
      <c r="C98" s="517">
        <f>Dean_Ed!G99+Ed_Leader!E96+'El_Ed "old"'!G88+'Sec_Ed "old"'!G97+'Spec_Ed, Couns &amp; Stu Affair'!G101</f>
        <v>0</v>
      </c>
      <c r="D98" s="520">
        <f>Dean_Ed!H99+Ed_Leader!F96+'El_Ed "old"'!H88+'Sec_Ed "old"'!H97+'Spec_Ed, Couns &amp; Stu Affair'!H101</f>
        <v>0</v>
      </c>
      <c r="E98" s="517">
        <f>Dean_Ed!I99+Ed_Leader!G96+'El_Ed "old"'!I88+'Sec_Ed "old"'!I97+'Spec_Ed, Couns &amp; Stu Affair'!I101</f>
        <v>0</v>
      </c>
      <c r="F98" s="520">
        <f>Dean_Ed!J99+Ed_Leader!H96+'El_Ed "old"'!J88+'Sec_Ed "old"'!J97+'Spec_Ed, Couns &amp; Stu Affair'!J101</f>
        <v>0</v>
      </c>
      <c r="G98" s="517">
        <f>Dean_Ed!K99+Ed_Leader!I96+'El_Ed "old"'!K88+'Sec_Ed "old"'!K97+'Spec_Ed, Couns &amp; Stu Affair'!K101</f>
        <v>0</v>
      </c>
      <c r="H98" s="520">
        <f>Dean_Ed!L99+Ed_Leader!J96+'El_Ed "old"'!L88+'Sec_Ed "old"'!L97+'Spec_Ed, Couns &amp; Stu Affair'!L101</f>
        <v>0</v>
      </c>
      <c r="I98" s="517">
        <f>Dean_Ed!M99+Ed_Leader!K96+'El_Ed "old"'!M88+'Sec_Ed "old"'!M97+'Spec_Ed, Couns &amp; Stu Affair'!M101</f>
        <v>0</v>
      </c>
      <c r="J98" s="520">
        <f>Dean_Ed!N99+Ed_Leader!L96+'El_Ed "old"'!N88+'Sec_Ed "old"'!N97+'Spec_Ed, Couns &amp; Stu Affair'!N101</f>
        <v>0</v>
      </c>
      <c r="K98" s="517">
        <f>Dean_Ed!O99+Ed_Leader!M96+'El_Ed "old"'!O88+'Sec_Ed "old"'!O97+'Spec_Ed, Couns &amp; Stu Affair'!O101</f>
        <v>0</v>
      </c>
      <c r="L98" s="520">
        <f>Dean_Ed!P99+Ed_Leader!N96+'El_Ed "old"'!P88+'Sec_Ed "old"'!P97+'Spec_Ed, Couns &amp; Stu Affair'!P101</f>
        <v>0</v>
      </c>
      <c r="M98" s="517">
        <f>Dean_Ed!Q99+Ed_Leader!O96+'Curriculum &amp; Instruction'!M107+'Spec_Ed, Couns &amp; Stu Affair'!Q101</f>
        <v>0</v>
      </c>
      <c r="N98" s="520">
        <f>Dean_Ed!R99+Ed_Leader!P96+'Curriculum &amp; Instruction'!N107+'Spec_Ed, Couns &amp; Stu Affair'!R101</f>
        <v>0</v>
      </c>
      <c r="O98" s="517">
        <f>Dean_Ed!S99+Ed_Leader!Q96+'Curriculum &amp; Instruction'!O107+'Spec_Ed, Couns &amp; Stu Affair'!S101</f>
        <v>0</v>
      </c>
      <c r="P98" s="520">
        <f>Dean_Ed!T99+Ed_Leader!R96+'Curriculum &amp; Instruction'!P107+'Spec_Ed, Couns &amp; Stu Affair'!T101</f>
        <v>0</v>
      </c>
      <c r="Q98" s="517">
        <f>Dean_Ed!U99+Ed_Leader!S96+'Curriculum &amp; Instruction'!Q107+'Spec_Ed, Couns &amp; Stu Affair'!U101</f>
        <v>0</v>
      </c>
      <c r="R98" s="520">
        <f>Dean_Ed!V99+Ed_Leader!T96+'Curriculum &amp; Instruction'!R107+'Spec_Ed, Couns &amp; Stu Affair'!V101</f>
        <v>0</v>
      </c>
      <c r="S98" s="517">
        <f>Dean_Ed!W99+Ed_Leader!U96+'Curriculum &amp; Instruction'!S107+'Spec_Ed, Couns &amp; Stu Affair'!W101</f>
        <v>1</v>
      </c>
      <c r="T98" s="520">
        <f>Dean_Ed!X99+Ed_Leader!V96+'Curriculum &amp; Instruction'!T107+'Spec_Ed, Couns &amp; Stu Affair'!X101</f>
        <v>0.1</v>
      </c>
      <c r="U98" s="517">
        <f>Dean_Ed!Y99+Ed_Leader!W96+'Curriculum &amp; Instruction'!U107+'Spec_Ed, Couns &amp; Stu Affair'!Y101</f>
        <v>0</v>
      </c>
      <c r="V98" s="520">
        <f>Dean_Ed!Z99+Ed_Leader!X96+'Curriculum &amp; Instruction'!V107+'Spec_Ed, Couns &amp; Stu Affair'!Z101</f>
        <v>0</v>
      </c>
      <c r="W98" s="22"/>
      <c r="X98" s="652">
        <f t="shared" si="43"/>
        <v>0.2</v>
      </c>
      <c r="Y98" s="1113">
        <f t="shared" si="44"/>
        <v>0.02</v>
      </c>
      <c r="Z98" s="1"/>
      <c r="AA98" s="22"/>
    </row>
    <row r="99" spans="1:27" customFormat="1" ht="17.25" thickTop="1" thickBot="1" x14ac:dyDescent="0.3">
      <c r="A99" s="521"/>
      <c r="B99" s="522"/>
      <c r="C99" s="1249" t="s">
        <v>110</v>
      </c>
      <c r="D99" s="1257"/>
      <c r="E99" s="1249" t="s">
        <v>111</v>
      </c>
      <c r="F99" s="1257"/>
      <c r="G99" s="1249" t="s">
        <v>128</v>
      </c>
      <c r="H99" s="1257"/>
      <c r="I99" s="1254" t="s">
        <v>129</v>
      </c>
      <c r="J99" s="1219"/>
      <c r="K99" s="1218" t="s">
        <v>169</v>
      </c>
      <c r="L99" s="1219"/>
      <c r="M99" s="1218" t="s">
        <v>161</v>
      </c>
      <c r="N99" s="1219"/>
      <c r="O99" s="1218" t="s">
        <v>180</v>
      </c>
      <c r="P99" s="1219"/>
      <c r="Q99" s="1218" t="s">
        <v>190</v>
      </c>
      <c r="R99" s="1219"/>
      <c r="S99" s="1218" t="s">
        <v>195</v>
      </c>
      <c r="T99" s="1219"/>
      <c r="U99" s="1218" t="s">
        <v>199</v>
      </c>
      <c r="V99" s="1219"/>
      <c r="W99" s="625"/>
      <c r="X99" s="1260"/>
      <c r="Y99" s="1261"/>
      <c r="Z99" s="1"/>
      <c r="AA99" s="1"/>
    </row>
    <row r="100" spans="1:27" customFormat="1" x14ac:dyDescent="0.2">
      <c r="A100" s="1"/>
      <c r="B100" s="524" t="s">
        <v>136</v>
      </c>
      <c r="C100" s="528"/>
      <c r="D100" s="529"/>
      <c r="E100" s="530"/>
      <c r="F100" s="243"/>
      <c r="G100" s="531"/>
      <c r="H100" s="532"/>
      <c r="I100" s="531"/>
      <c r="J100" s="547"/>
      <c r="K100" s="203"/>
      <c r="L100" s="884"/>
      <c r="M100" s="531"/>
      <c r="N100" s="547"/>
      <c r="O100" s="531"/>
      <c r="P100" s="547"/>
      <c r="Q100" s="203"/>
      <c r="R100" s="884"/>
      <c r="S100" s="531"/>
      <c r="T100" s="547"/>
      <c r="U100" s="531"/>
      <c r="V100" s="547"/>
      <c r="W100" s="22"/>
      <c r="X100" s="22"/>
      <c r="Y100" s="22"/>
      <c r="Z100" s="1"/>
      <c r="AA100" s="1"/>
    </row>
    <row r="101" spans="1:27" customFormat="1" x14ac:dyDescent="0.2">
      <c r="A101" s="430"/>
      <c r="B101" s="534" t="s">
        <v>118</v>
      </c>
      <c r="C101" s="537"/>
      <c r="D101" s="538"/>
      <c r="E101" s="1262">
        <f>Ed_Leader!G100+'Spec_Ed, Couns &amp; Stu Affair'!J104+'El_Ed "old"'!I91+'Sec_Ed "old"'!I100+Dean_Ed!I102</f>
        <v>29.5</v>
      </c>
      <c r="F101" s="1263"/>
      <c r="G101" s="539"/>
      <c r="H101" s="540"/>
      <c r="I101" s="539"/>
      <c r="J101" s="547"/>
      <c r="K101" s="1192"/>
      <c r="L101" s="1193">
        <v>58.5</v>
      </c>
      <c r="M101" s="1363"/>
      <c r="N101" s="1297"/>
      <c r="O101" s="1363"/>
      <c r="P101" s="1297"/>
      <c r="Q101" s="1192"/>
      <c r="R101" s="1193">
        <v>35.049999999999997</v>
      </c>
      <c r="S101" s="1363"/>
      <c r="T101" s="1297"/>
      <c r="U101" s="1363"/>
      <c r="V101" s="1297"/>
      <c r="W101" s="22"/>
      <c r="X101" s="22"/>
      <c r="Y101" s="1040"/>
      <c r="Z101" s="1"/>
      <c r="AA101" s="1"/>
    </row>
    <row r="102" spans="1:27" customFormat="1" x14ac:dyDescent="0.2">
      <c r="A102" s="430"/>
      <c r="B102" s="542" t="s">
        <v>119</v>
      </c>
      <c r="C102" s="537"/>
      <c r="D102" s="538"/>
      <c r="E102" s="1262"/>
      <c r="F102" s="1263"/>
      <c r="G102" s="539"/>
      <c r="H102" s="540"/>
      <c r="I102" s="539"/>
      <c r="J102" s="547"/>
      <c r="K102" s="1192"/>
      <c r="L102" s="1193"/>
      <c r="M102" s="1358"/>
      <c r="N102" s="1359"/>
      <c r="O102" s="1358"/>
      <c r="P102" s="1359"/>
      <c r="Q102" s="1194"/>
      <c r="R102" s="1193"/>
      <c r="S102" s="1358"/>
      <c r="T102" s="1359"/>
      <c r="U102" s="1358"/>
      <c r="V102" s="1359"/>
      <c r="W102" s="22"/>
      <c r="X102" s="22"/>
      <c r="Y102" s="1040"/>
      <c r="Z102" s="1"/>
      <c r="AA102" s="1"/>
    </row>
    <row r="103" spans="1:27" customFormat="1" x14ac:dyDescent="0.2">
      <c r="A103" s="430"/>
      <c r="B103" s="542" t="s">
        <v>120</v>
      </c>
      <c r="C103" s="537"/>
      <c r="D103" s="538"/>
      <c r="E103" s="1262">
        <f>Ed_Leader!G102+'Spec_Ed, Couns &amp; Stu Affair'!J106+'El_Ed "old"'!I93+'Sec_Ed "old"'!I102</f>
        <v>6</v>
      </c>
      <c r="F103" s="1263"/>
      <c r="G103" s="539"/>
      <c r="H103" s="540"/>
      <c r="I103" s="539"/>
      <c r="J103" s="547"/>
      <c r="K103" s="1192"/>
      <c r="L103" s="1193">
        <v>2</v>
      </c>
      <c r="M103" s="1363"/>
      <c r="N103" s="1297"/>
      <c r="O103" s="1363"/>
      <c r="P103" s="1297"/>
      <c r="Q103" s="1192"/>
      <c r="R103" s="1193">
        <v>2.6</v>
      </c>
      <c r="S103" s="1363"/>
      <c r="T103" s="1297"/>
      <c r="U103" s="1363"/>
      <c r="V103" s="1297"/>
      <c r="W103" s="22"/>
      <c r="X103" s="22"/>
      <c r="Y103" s="1040"/>
      <c r="Z103" s="1"/>
      <c r="AA103" s="1"/>
    </row>
    <row r="104" spans="1:27" customFormat="1" x14ac:dyDescent="0.2">
      <c r="A104" s="430"/>
      <c r="B104" s="534" t="s">
        <v>121</v>
      </c>
      <c r="C104" s="537"/>
      <c r="D104" s="538"/>
      <c r="E104" s="1262">
        <f>Ed_Leader!G103+'Spec_Ed, Couns &amp; Stu Affair'!J107+'El_Ed "old"'!I94+'Sec_Ed "old"'!I103</f>
        <v>3.75</v>
      </c>
      <c r="F104" s="1263"/>
      <c r="G104" s="539"/>
      <c r="H104" s="540"/>
      <c r="I104" s="539"/>
      <c r="J104" s="547"/>
      <c r="K104" s="1192"/>
      <c r="L104" s="1193">
        <v>4.4000000000000004</v>
      </c>
      <c r="M104" s="1363"/>
      <c r="N104" s="1297"/>
      <c r="O104" s="1363"/>
      <c r="P104" s="1297"/>
      <c r="Q104" s="1192"/>
      <c r="R104" s="1193">
        <v>5</v>
      </c>
      <c r="S104" s="1363"/>
      <c r="T104" s="1297"/>
      <c r="U104" s="1363"/>
      <c r="V104" s="1297"/>
      <c r="W104" s="22"/>
      <c r="X104" s="22"/>
      <c r="Y104" s="1040"/>
      <c r="Z104" s="1"/>
      <c r="AA104" s="1"/>
    </row>
    <row r="105" spans="1:27" customFormat="1" x14ac:dyDescent="0.2">
      <c r="A105" s="430"/>
      <c r="B105" s="543" t="s">
        <v>122</v>
      </c>
      <c r="C105" s="537"/>
      <c r="D105" s="538"/>
      <c r="E105" s="1262">
        <f>Ed_Leader!G104+'Spec_Ed, Couns &amp; Stu Affair'!J108+'El_Ed "old"'!I95+'Sec_Ed "old"'!I104+Dean_Ed!I106</f>
        <v>28.54</v>
      </c>
      <c r="F105" s="1263"/>
      <c r="G105" s="539"/>
      <c r="H105" s="540"/>
      <c r="I105" s="539"/>
      <c r="J105" s="547"/>
      <c r="K105" s="1192"/>
      <c r="L105" s="1193">
        <v>40.019999999999996</v>
      </c>
      <c r="M105" s="1363"/>
      <c r="N105" s="1297"/>
      <c r="O105" s="1363"/>
      <c r="P105" s="1297"/>
      <c r="Q105" s="1192"/>
      <c r="R105" s="1193">
        <f>23.16+12.61+1.8</f>
        <v>37.569999999999993</v>
      </c>
      <c r="S105" s="1363"/>
      <c r="T105" s="1297"/>
      <c r="U105" s="1363"/>
      <c r="V105" s="1297"/>
      <c r="W105" s="22"/>
      <c r="X105" s="22"/>
      <c r="Y105" s="1040"/>
      <c r="Z105" s="1"/>
      <c r="AA105" s="1"/>
    </row>
    <row r="106" spans="1:27" customFormat="1" x14ac:dyDescent="0.2">
      <c r="A106" s="430"/>
      <c r="B106" s="543" t="s">
        <v>123</v>
      </c>
      <c r="C106" s="537"/>
      <c r="D106" s="538"/>
      <c r="E106" s="1262">
        <f>SUM(E101:F105)</f>
        <v>67.789999999999992</v>
      </c>
      <c r="F106" s="1263"/>
      <c r="G106" s="539"/>
      <c r="H106" s="540"/>
      <c r="I106" s="539"/>
      <c r="J106" s="547"/>
      <c r="K106" s="1192"/>
      <c r="L106" s="1193">
        <v>104.91999999999999</v>
      </c>
      <c r="M106" s="1363"/>
      <c r="N106" s="1297"/>
      <c r="O106" s="1363"/>
      <c r="P106" s="1297"/>
      <c r="Q106" s="1192"/>
      <c r="R106" s="1193">
        <f>SUM(R101:R105)</f>
        <v>80.22</v>
      </c>
      <c r="S106" s="1363"/>
      <c r="T106" s="1297"/>
      <c r="U106" s="1363"/>
      <c r="V106" s="1297"/>
      <c r="W106" s="22"/>
      <c r="X106" s="22"/>
      <c r="Y106" s="1040"/>
      <c r="Z106" s="1"/>
      <c r="AA106" s="1"/>
    </row>
    <row r="107" spans="1:27" customFormat="1" ht="13.5" thickBot="1" x14ac:dyDescent="0.25">
      <c r="A107" s="430"/>
      <c r="B107" s="544" t="s">
        <v>130</v>
      </c>
      <c r="C107" s="531"/>
      <c r="D107" s="547"/>
      <c r="E107" s="1262"/>
      <c r="F107" s="1263"/>
      <c r="G107" s="539"/>
      <c r="H107" s="540"/>
      <c r="I107" s="539"/>
      <c r="J107" s="547"/>
      <c r="K107" s="1192"/>
      <c r="L107" s="1193"/>
      <c r="M107" s="1358"/>
      <c r="N107" s="1359"/>
      <c r="O107" s="1358"/>
      <c r="P107" s="1359"/>
      <c r="Q107" s="1194"/>
      <c r="R107" s="1193"/>
      <c r="S107" s="1358"/>
      <c r="T107" s="1359"/>
      <c r="U107" s="1358"/>
      <c r="V107" s="1359"/>
      <c r="W107" s="22"/>
      <c r="X107" s="22"/>
      <c r="Y107" s="1040"/>
      <c r="Z107" s="1"/>
      <c r="AA107" s="1"/>
    </row>
    <row r="108" spans="1:27" customFormat="1" x14ac:dyDescent="0.2">
      <c r="A108" s="430"/>
      <c r="B108" s="534" t="s">
        <v>124</v>
      </c>
      <c r="C108" s="550"/>
      <c r="D108" s="551"/>
      <c r="E108" s="1314">
        <f>Ed_Leader!G107+'Spec_Ed, Couns &amp; Stu Affair'!J111+'El_Ed "old"'!I98+'Sec_Ed "old"'!I107+Dean_Ed!I109</f>
        <v>3826</v>
      </c>
      <c r="F108" s="1315"/>
      <c r="G108" s="539"/>
      <c r="H108" s="540"/>
      <c r="I108" s="539"/>
      <c r="J108" s="547"/>
      <c r="K108" s="1196"/>
      <c r="L108" s="1197">
        <v>8847</v>
      </c>
      <c r="M108" s="1360"/>
      <c r="N108" s="1293"/>
      <c r="O108" s="1360"/>
      <c r="P108" s="1293"/>
      <c r="Q108" s="1196"/>
      <c r="R108" s="1197">
        <v>5880</v>
      </c>
      <c r="S108" s="1360"/>
      <c r="T108" s="1293"/>
      <c r="U108" s="1360"/>
      <c r="V108" s="1293"/>
      <c r="W108" s="22"/>
      <c r="X108" s="22"/>
      <c r="Y108" s="1040"/>
      <c r="Z108" s="1"/>
      <c r="AA108" s="1"/>
    </row>
    <row r="109" spans="1:27" customFormat="1" x14ac:dyDescent="0.2">
      <c r="A109" s="430"/>
      <c r="B109" s="543" t="s">
        <v>125</v>
      </c>
      <c r="C109" s="550"/>
      <c r="D109" s="551"/>
      <c r="E109" s="1314">
        <f>Ed_Leader!G108+'Spec_Ed, Couns &amp; Stu Affair'!J112+'El_Ed "old"'!I99+'Sec_Ed "old"'!I108+Dean_Ed!I110</f>
        <v>1152</v>
      </c>
      <c r="F109" s="1315"/>
      <c r="G109" s="539"/>
      <c r="H109" s="540"/>
      <c r="I109" s="539"/>
      <c r="J109" s="547"/>
      <c r="K109" s="1196"/>
      <c r="L109" s="1197">
        <v>575</v>
      </c>
      <c r="M109" s="1360"/>
      <c r="N109" s="1293"/>
      <c r="O109" s="1360"/>
      <c r="P109" s="1293"/>
      <c r="Q109" s="1196"/>
      <c r="R109" s="1197">
        <v>741</v>
      </c>
      <c r="S109" s="1360"/>
      <c r="T109" s="1293"/>
      <c r="U109" s="1360"/>
      <c r="V109" s="1293"/>
      <c r="W109" s="22"/>
      <c r="X109" s="22"/>
      <c r="Y109" s="1040"/>
      <c r="Z109" s="1"/>
      <c r="AA109" s="1"/>
    </row>
    <row r="110" spans="1:27" customFormat="1" x14ac:dyDescent="0.2">
      <c r="A110" s="430"/>
      <c r="B110" s="543" t="s">
        <v>126</v>
      </c>
      <c r="C110" s="550"/>
      <c r="D110" s="551"/>
      <c r="E110" s="1314">
        <f>Ed_Leader!G109+'Spec_Ed, Couns &amp; Stu Affair'!J113+'El_Ed "old"'!I100+'Sec_Ed "old"'!I109+Dean_Ed!I111</f>
        <v>6708</v>
      </c>
      <c r="F110" s="1315"/>
      <c r="G110" s="539"/>
      <c r="H110" s="540"/>
      <c r="I110" s="539"/>
      <c r="J110" s="547"/>
      <c r="K110" s="1196"/>
      <c r="L110" s="1197">
        <v>6357</v>
      </c>
      <c r="M110" s="1360"/>
      <c r="N110" s="1293"/>
      <c r="O110" s="1360"/>
      <c r="P110" s="1293"/>
      <c r="Q110" s="1196"/>
      <c r="R110" s="1197">
        <f>3131+2828+850</f>
        <v>6809</v>
      </c>
      <c r="S110" s="1360"/>
      <c r="T110" s="1293"/>
      <c r="U110" s="1360"/>
      <c r="V110" s="1293"/>
      <c r="W110" s="22"/>
      <c r="X110" s="22"/>
      <c r="Y110" s="1040"/>
      <c r="Z110" s="1"/>
      <c r="AA110" s="1"/>
    </row>
    <row r="111" spans="1:27" customFormat="1" x14ac:dyDescent="0.2">
      <c r="A111" s="430"/>
      <c r="B111" s="543" t="s">
        <v>135</v>
      </c>
      <c r="C111" s="550"/>
      <c r="D111" s="551"/>
      <c r="E111" s="1314">
        <f>SUM(E108:F110)</f>
        <v>11686</v>
      </c>
      <c r="F111" s="1315"/>
      <c r="G111" s="539"/>
      <c r="H111" s="540"/>
      <c r="I111" s="539"/>
      <c r="J111" s="547"/>
      <c r="K111" s="1196"/>
      <c r="L111" s="1197">
        <v>15779</v>
      </c>
      <c r="M111" s="1360"/>
      <c r="N111" s="1293"/>
      <c r="O111" s="1360"/>
      <c r="P111" s="1293"/>
      <c r="Q111" s="1196"/>
      <c r="R111" s="1197">
        <f>SUM(R108:R110)</f>
        <v>13430</v>
      </c>
      <c r="S111" s="1360"/>
      <c r="T111" s="1293"/>
      <c r="U111" s="1360"/>
      <c r="V111" s="1293"/>
      <c r="W111" s="22"/>
      <c r="X111" s="22"/>
      <c r="Y111" s="1040"/>
      <c r="Z111" s="1"/>
      <c r="AA111" s="1"/>
    </row>
    <row r="112" spans="1:27" customFormat="1" ht="13.5" thickBot="1" x14ac:dyDescent="0.25">
      <c r="A112" s="430"/>
      <c r="B112" s="544" t="s">
        <v>131</v>
      </c>
      <c r="C112" s="531"/>
      <c r="D112" s="547"/>
      <c r="E112" s="1262"/>
      <c r="F112" s="1263"/>
      <c r="G112" s="539"/>
      <c r="H112" s="540"/>
      <c r="I112" s="539"/>
      <c r="J112" s="547"/>
      <c r="K112" s="1194"/>
      <c r="L112" s="1195"/>
      <c r="M112" s="1358"/>
      <c r="N112" s="1359"/>
      <c r="O112" s="1358"/>
      <c r="P112" s="1359"/>
      <c r="Q112" s="1194"/>
      <c r="R112" s="1195"/>
      <c r="S112" s="1358"/>
      <c r="T112" s="1359"/>
      <c r="U112" s="1358"/>
      <c r="V112" s="1359"/>
      <c r="W112" s="22"/>
      <c r="X112" s="22"/>
      <c r="Y112" s="491"/>
      <c r="Z112" s="22"/>
      <c r="AA112" s="22"/>
    </row>
    <row r="113" spans="1:27" customFormat="1" x14ac:dyDescent="0.2">
      <c r="A113" s="430"/>
      <c r="B113" s="534" t="s">
        <v>132</v>
      </c>
      <c r="C113" s="554"/>
      <c r="D113" s="555"/>
      <c r="E113" s="1264">
        <f>E108/E101</f>
        <v>129.69491525423729</v>
      </c>
      <c r="F113" s="1265"/>
      <c r="G113" s="556"/>
      <c r="H113" s="557"/>
      <c r="I113" s="556"/>
      <c r="J113" s="555"/>
      <c r="K113" s="1196"/>
      <c r="L113" s="1197">
        <v>151.23076923076923</v>
      </c>
      <c r="M113" s="1360"/>
      <c r="N113" s="1293"/>
      <c r="O113" s="1360"/>
      <c r="P113" s="1293"/>
      <c r="Q113" s="1196"/>
      <c r="R113" s="1197">
        <f>R108/R101</f>
        <v>167.76034236804566</v>
      </c>
      <c r="S113" s="1360"/>
      <c r="T113" s="1293"/>
      <c r="U113" s="1360"/>
      <c r="V113" s="1293"/>
      <c r="W113" s="626"/>
      <c r="X113" s="626"/>
      <c r="Y113" s="1040"/>
      <c r="Z113" s="432"/>
      <c r="AA113" s="432"/>
    </row>
    <row r="114" spans="1:27" customFormat="1" x14ac:dyDescent="0.2">
      <c r="A114" s="430"/>
      <c r="B114" s="543" t="s">
        <v>133</v>
      </c>
      <c r="C114" s="554"/>
      <c r="D114" s="555"/>
      <c r="E114" s="1264">
        <f>E109/E103</f>
        <v>192</v>
      </c>
      <c r="F114" s="1265"/>
      <c r="G114" s="556"/>
      <c r="H114" s="557"/>
      <c r="I114" s="556"/>
      <c r="J114" s="555"/>
      <c r="K114" s="1196"/>
      <c r="L114" s="1197">
        <v>287.5</v>
      </c>
      <c r="M114" s="1360"/>
      <c r="N114" s="1293"/>
      <c r="O114" s="1360"/>
      <c r="P114" s="1293"/>
      <c r="Q114" s="1196"/>
      <c r="R114" s="1197">
        <f>R109/(R103+R104)</f>
        <v>97.5</v>
      </c>
      <c r="S114" s="1360"/>
      <c r="T114" s="1293"/>
      <c r="U114" s="1360"/>
      <c r="V114" s="1293"/>
      <c r="W114" s="626"/>
      <c r="X114" s="626"/>
      <c r="Y114" s="1040"/>
      <c r="Z114" s="432"/>
      <c r="AA114" s="432"/>
    </row>
    <row r="115" spans="1:27" customFormat="1" x14ac:dyDescent="0.2">
      <c r="A115" s="430"/>
      <c r="B115" s="543" t="s">
        <v>134</v>
      </c>
      <c r="C115" s="554"/>
      <c r="D115" s="555"/>
      <c r="E115" s="1264">
        <f>E110/E105</f>
        <v>235.0385423966363</v>
      </c>
      <c r="F115" s="1265"/>
      <c r="G115" s="556"/>
      <c r="H115" s="557"/>
      <c r="I115" s="556"/>
      <c r="J115" s="555"/>
      <c r="K115" s="1196"/>
      <c r="L115" s="1197">
        <v>158.84557721139433</v>
      </c>
      <c r="M115" s="1360"/>
      <c r="N115" s="1293"/>
      <c r="O115" s="1360"/>
      <c r="P115" s="1293"/>
      <c r="Q115" s="1196"/>
      <c r="R115" s="1197">
        <f>R110/R105</f>
        <v>181.23502794783076</v>
      </c>
      <c r="S115" s="1360"/>
      <c r="T115" s="1293"/>
      <c r="U115" s="1360"/>
      <c r="V115" s="1293"/>
      <c r="W115" s="626"/>
      <c r="X115" s="626"/>
      <c r="Y115" s="1040"/>
      <c r="Z115" s="432"/>
      <c r="AA115" s="432"/>
    </row>
    <row r="116" spans="1:27" customFormat="1" ht="13.5" thickBot="1" x14ac:dyDescent="0.25">
      <c r="A116" s="430"/>
      <c r="B116" s="559" t="s">
        <v>127</v>
      </c>
      <c r="C116" s="562"/>
      <c r="D116" s="563"/>
      <c r="E116" s="1328">
        <f>E111/E106</f>
        <v>172.38530756748784</v>
      </c>
      <c r="F116" s="1329"/>
      <c r="G116" s="562"/>
      <c r="H116" s="563"/>
      <c r="I116" s="562"/>
      <c r="J116" s="563"/>
      <c r="K116" s="1198"/>
      <c r="L116" s="1199">
        <v>150.39077392298896</v>
      </c>
      <c r="M116" s="1361"/>
      <c r="N116" s="1362"/>
      <c r="O116" s="1361"/>
      <c r="P116" s="1362"/>
      <c r="Q116" s="1198"/>
      <c r="R116" s="1199">
        <f>R111/R106</f>
        <v>167.41460982298679</v>
      </c>
      <c r="S116" s="1361"/>
      <c r="T116" s="1362"/>
      <c r="U116" s="1361"/>
      <c r="V116" s="1362"/>
      <c r="W116" s="626"/>
      <c r="X116" s="626"/>
      <c r="Y116" s="1040"/>
      <c r="Z116" s="432"/>
      <c r="AA116" s="432"/>
    </row>
    <row r="117" spans="1:27" ht="13.5" thickTop="1" x14ac:dyDescent="0.2">
      <c r="B117" s="105" t="s">
        <v>196</v>
      </c>
    </row>
    <row r="120" spans="1:27" x14ac:dyDescent="0.2">
      <c r="G120" s="1" t="s">
        <v>20</v>
      </c>
    </row>
  </sheetData>
  <mergeCells count="184">
    <mergeCell ref="U111:V111"/>
    <mergeCell ref="U112:V112"/>
    <mergeCell ref="U113:V113"/>
    <mergeCell ref="U114:V114"/>
    <mergeCell ref="U115:V115"/>
    <mergeCell ref="U116:V116"/>
    <mergeCell ref="X28:Y28"/>
    <mergeCell ref="X29:Y29"/>
    <mergeCell ref="X30:Y30"/>
    <mergeCell ref="U102:V102"/>
    <mergeCell ref="U103:V103"/>
    <mergeCell ref="U104:V104"/>
    <mergeCell ref="U105:V105"/>
    <mergeCell ref="U106:V106"/>
    <mergeCell ref="U107:V107"/>
    <mergeCell ref="U108:V108"/>
    <mergeCell ref="U109:V109"/>
    <mergeCell ref="U110:V110"/>
    <mergeCell ref="X99:Y99"/>
    <mergeCell ref="U5:V5"/>
    <mergeCell ref="U19:V19"/>
    <mergeCell ref="U27:V27"/>
    <mergeCell ref="U28:V28"/>
    <mergeCell ref="U29:V29"/>
    <mergeCell ref="U30:V30"/>
    <mergeCell ref="U33:V33"/>
    <mergeCell ref="U64:V64"/>
    <mergeCell ref="U94:V94"/>
    <mergeCell ref="O104:P104"/>
    <mergeCell ref="O105:P105"/>
    <mergeCell ref="O106:P106"/>
    <mergeCell ref="M104:N104"/>
    <mergeCell ref="O116:P116"/>
    <mergeCell ref="O110:P110"/>
    <mergeCell ref="O111:P111"/>
    <mergeCell ref="O112:P112"/>
    <mergeCell ref="O113:P113"/>
    <mergeCell ref="O114:P114"/>
    <mergeCell ref="O115:P115"/>
    <mergeCell ref="O108:P108"/>
    <mergeCell ref="O107:P107"/>
    <mergeCell ref="O109:P109"/>
    <mergeCell ref="X5:Y5"/>
    <mergeCell ref="M27:N27"/>
    <mergeCell ref="M28:N28"/>
    <mergeCell ref="M29:N29"/>
    <mergeCell ref="O33:P33"/>
    <mergeCell ref="O64:P64"/>
    <mergeCell ref="O94:P94"/>
    <mergeCell ref="O99:P99"/>
    <mergeCell ref="O5:P5"/>
    <mergeCell ref="O19:P19"/>
    <mergeCell ref="O27:P27"/>
    <mergeCell ref="O28:P28"/>
    <mergeCell ref="X19:Y19"/>
    <mergeCell ref="M19:N19"/>
    <mergeCell ref="M5:N5"/>
    <mergeCell ref="Q64:R64"/>
    <mergeCell ref="Q94:R94"/>
    <mergeCell ref="S33:T33"/>
    <mergeCell ref="S64:T64"/>
    <mergeCell ref="S94:T94"/>
    <mergeCell ref="S5:T5"/>
    <mergeCell ref="S19:T19"/>
    <mergeCell ref="S27:T27"/>
    <mergeCell ref="X27:Y27"/>
    <mergeCell ref="E103:F103"/>
    <mergeCell ref="G99:H99"/>
    <mergeCell ref="E102:F102"/>
    <mergeCell ref="O101:P101"/>
    <mergeCell ref="O102:P102"/>
    <mergeCell ref="K5:L5"/>
    <mergeCell ref="K19:L19"/>
    <mergeCell ref="E104:F104"/>
    <mergeCell ref="E105:F105"/>
    <mergeCell ref="K27:L27"/>
    <mergeCell ref="K30:L30"/>
    <mergeCell ref="K28:L28"/>
    <mergeCell ref="K33:L33"/>
    <mergeCell ref="K64:L64"/>
    <mergeCell ref="K94:L94"/>
    <mergeCell ref="E29:F29"/>
    <mergeCell ref="E64:F64"/>
    <mergeCell ref="E27:F27"/>
    <mergeCell ref="K29:L29"/>
    <mergeCell ref="G5:H5"/>
    <mergeCell ref="G19:H19"/>
    <mergeCell ref="I5:J5"/>
    <mergeCell ref="I19:J19"/>
    <mergeCell ref="I27:J27"/>
    <mergeCell ref="O30:P30"/>
    <mergeCell ref="M94:N94"/>
    <mergeCell ref="M30:N30"/>
    <mergeCell ref="Q28:R28"/>
    <mergeCell ref="Q29:R29"/>
    <mergeCell ref="Q30:R30"/>
    <mergeCell ref="Q33:R33"/>
    <mergeCell ref="O29:P29"/>
    <mergeCell ref="M103:N103"/>
    <mergeCell ref="M99:N99"/>
    <mergeCell ref="M101:N101"/>
    <mergeCell ref="M102:N102"/>
    <mergeCell ref="O103:P103"/>
    <mergeCell ref="E101:F101"/>
    <mergeCell ref="Q99:R99"/>
    <mergeCell ref="S99:T99"/>
    <mergeCell ref="S101:T101"/>
    <mergeCell ref="X94:Y94"/>
    <mergeCell ref="X64:Y64"/>
    <mergeCell ref="X33:Y33"/>
    <mergeCell ref="C94:D94"/>
    <mergeCell ref="E94:F94"/>
    <mergeCell ref="C99:D99"/>
    <mergeCell ref="E99:F99"/>
    <mergeCell ref="I33:J33"/>
    <mergeCell ref="I64:J64"/>
    <mergeCell ref="G33:H33"/>
    <mergeCell ref="G64:H64"/>
    <mergeCell ref="M64:N64"/>
    <mergeCell ref="M33:N33"/>
    <mergeCell ref="K99:L99"/>
    <mergeCell ref="U99:V99"/>
    <mergeCell ref="U101:V101"/>
    <mergeCell ref="C28:D28"/>
    <mergeCell ref="E30:F30"/>
    <mergeCell ref="E28:F28"/>
    <mergeCell ref="G94:H94"/>
    <mergeCell ref="I94:J94"/>
    <mergeCell ref="I99:J99"/>
    <mergeCell ref="E19:F19"/>
    <mergeCell ref="C27:D27"/>
    <mergeCell ref="C19:D19"/>
    <mergeCell ref="C33:D33"/>
    <mergeCell ref="C64:D64"/>
    <mergeCell ref="C29:D29"/>
    <mergeCell ref="C30:D30"/>
    <mergeCell ref="E33:F33"/>
    <mergeCell ref="I30:J30"/>
    <mergeCell ref="G30:H30"/>
    <mergeCell ref="G27:H27"/>
    <mergeCell ref="E116:F116"/>
    <mergeCell ref="E114:F114"/>
    <mergeCell ref="E115:F115"/>
    <mergeCell ref="E112:F112"/>
    <mergeCell ref="E113:F113"/>
    <mergeCell ref="E110:F110"/>
    <mergeCell ref="E111:F111"/>
    <mergeCell ref="M113:N113"/>
    <mergeCell ref="M105:N105"/>
    <mergeCell ref="M106:N106"/>
    <mergeCell ref="M115:N115"/>
    <mergeCell ref="M116:N116"/>
    <mergeCell ref="M109:N109"/>
    <mergeCell ref="M110:N110"/>
    <mergeCell ref="M111:N111"/>
    <mergeCell ref="M112:N112"/>
    <mergeCell ref="M114:N114"/>
    <mergeCell ref="M107:N107"/>
    <mergeCell ref="M108:N108"/>
    <mergeCell ref="E109:F109"/>
    <mergeCell ref="E106:F106"/>
    <mergeCell ref="E107:F107"/>
    <mergeCell ref="E108:F108"/>
    <mergeCell ref="S28:T28"/>
    <mergeCell ref="S29:T29"/>
    <mergeCell ref="S30:T30"/>
    <mergeCell ref="Q5:R5"/>
    <mergeCell ref="Q19:R19"/>
    <mergeCell ref="Q27:R27"/>
    <mergeCell ref="S102:T102"/>
    <mergeCell ref="S115:T115"/>
    <mergeCell ref="S116:T116"/>
    <mergeCell ref="S109:T109"/>
    <mergeCell ref="S110:T110"/>
    <mergeCell ref="S111:T111"/>
    <mergeCell ref="S112:T112"/>
    <mergeCell ref="S113:T113"/>
    <mergeCell ref="S114:T114"/>
    <mergeCell ref="S103:T103"/>
    <mergeCell ref="S104:T104"/>
    <mergeCell ref="S105:T105"/>
    <mergeCell ref="S106:T106"/>
    <mergeCell ref="S107:T107"/>
    <mergeCell ref="S108:T108"/>
  </mergeCells>
  <phoneticPr fontId="0" type="noConversion"/>
  <printOptions horizontalCentered="1"/>
  <pageMargins left="0.5" right="0.5" top="0.5" bottom="0.5" header="0.5" footer="0.5"/>
  <pageSetup scale="73" orientation="landscape" r:id="rId1"/>
  <headerFooter alignWithMargins="0">
    <oddFooter>&amp;R&amp;P of &amp;N
&amp;D</oddFooter>
  </headerFooter>
  <rowBreaks count="1" manualBreakCount="1">
    <brk id="60" max="21" man="1"/>
  </rowBreaks>
  <ignoredErrors>
    <ignoredError sqref="E81:L93 E74:L79 M74:M81 O75:O93 O74 Q74:Q93 S74:T93 U74:U93" formula="1"/>
    <ignoredError sqref="P74 P75:P93" evalError="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X107"/>
  <sheetViews>
    <sheetView view="pageBreakPreview" zoomScaleNormal="100" workbookViewId="0">
      <selection activeCell="Q4" sqref="Q4"/>
    </sheetView>
  </sheetViews>
  <sheetFormatPr defaultColWidth="10.28515625" defaultRowHeight="12.75" x14ac:dyDescent="0.2"/>
  <cols>
    <col min="1" max="1" width="3.7109375" style="1" customWidth="1"/>
    <col min="2" max="2" width="31.140625" style="1" customWidth="1"/>
    <col min="3" max="3" width="7.7109375" hidden="1" customWidth="1"/>
    <col min="4" max="4" width="10.28515625" hidden="1" customWidth="1"/>
    <col min="5" max="5" width="7.7109375" hidden="1" customWidth="1"/>
    <col min="6" max="6" width="10.42578125" hidden="1" customWidth="1"/>
    <col min="7" max="7" width="7.7109375" style="204" customWidth="1"/>
    <col min="8" max="8" width="11" style="204" customWidth="1"/>
    <col min="9" max="9" width="7.7109375" style="204" customWidth="1"/>
    <col min="10" max="10" width="10.28515625" style="204" customWidth="1"/>
    <col min="11" max="11" width="7.7109375" style="1" customWidth="1"/>
    <col min="12" max="12" width="10.28515625" style="1" customWidth="1"/>
    <col min="13" max="13" width="7.7109375" style="1" customWidth="1"/>
    <col min="14" max="14" width="10.28515625" style="1" customWidth="1"/>
    <col min="15" max="15" width="7.7109375" style="1" customWidth="1"/>
    <col min="16" max="16" width="10.28515625" style="1" customWidth="1"/>
    <col min="17" max="17" width="7.7109375" style="1" customWidth="1"/>
    <col min="18" max="18" width="10.28515625" style="1" customWidth="1"/>
    <col min="19" max="19" width="3" style="1" customWidth="1"/>
    <col min="20" max="21" width="10.28515625" style="1" customWidth="1"/>
    <col min="22" max="22" width="2.42578125" style="1" customWidth="1"/>
    <col min="23" max="16384" width="10.28515625" style="1"/>
  </cols>
  <sheetData>
    <row r="1" spans="1:22" ht="18" x14ac:dyDescent="0.25">
      <c r="A1" s="694" t="str">
        <f>Dean_Ed!A1</f>
        <v>Department Profile Report - FY 2015</v>
      </c>
      <c r="B1" s="694"/>
      <c r="C1" s="694"/>
      <c r="D1" s="694"/>
      <c r="E1" s="694"/>
      <c r="F1" s="694"/>
      <c r="G1" s="695"/>
      <c r="H1" s="695"/>
      <c r="I1" s="695"/>
      <c r="J1" s="695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</row>
    <row r="2" spans="1:22" ht="12" x14ac:dyDescent="0.2">
      <c r="C2" s="1"/>
      <c r="D2" s="1"/>
      <c r="E2" s="1"/>
      <c r="F2" s="1"/>
      <c r="G2" s="203"/>
      <c r="H2" s="203"/>
      <c r="I2" s="203"/>
      <c r="J2" s="203"/>
    </row>
    <row r="3" spans="1:22" x14ac:dyDescent="0.2">
      <c r="A3" s="3" t="s">
        <v>18</v>
      </c>
      <c r="C3" s="1"/>
      <c r="D3" s="1"/>
      <c r="E3" s="1"/>
      <c r="F3" s="1"/>
      <c r="G3" s="203"/>
      <c r="H3" s="203"/>
      <c r="I3" s="203"/>
      <c r="J3" s="203"/>
    </row>
    <row r="4" spans="1:22" ht="12" x14ac:dyDescent="0.2">
      <c r="C4" s="1"/>
      <c r="D4" s="1"/>
      <c r="E4" s="1"/>
      <c r="F4" s="1"/>
      <c r="G4" s="203"/>
      <c r="H4" s="203"/>
      <c r="I4" s="203"/>
      <c r="J4" s="203"/>
    </row>
    <row r="5" spans="1:22" x14ac:dyDescent="0.2">
      <c r="A5" s="3" t="s">
        <v>54</v>
      </c>
      <c r="C5" s="1"/>
      <c r="D5" s="1"/>
      <c r="E5" s="1"/>
      <c r="F5" s="1"/>
      <c r="G5" s="203"/>
      <c r="H5" s="203"/>
      <c r="I5" s="203"/>
      <c r="J5" s="203"/>
    </row>
    <row r="6" spans="1:22" thickBot="1" x14ac:dyDescent="0.25">
      <c r="A6" s="2"/>
      <c r="C6" s="1"/>
      <c r="D6" s="1"/>
      <c r="E6" s="1"/>
      <c r="F6" s="1"/>
      <c r="G6" s="203"/>
      <c r="H6" s="203"/>
      <c r="I6" s="203"/>
      <c r="J6" s="203"/>
    </row>
    <row r="7" spans="1:22" ht="13.5" customHeight="1" thickTop="1" x14ac:dyDescent="0.2">
      <c r="B7" s="42"/>
      <c r="C7" s="10" t="s">
        <v>28</v>
      </c>
      <c r="D7" s="23"/>
      <c r="E7" s="10" t="s">
        <v>29</v>
      </c>
      <c r="F7" s="7"/>
      <c r="G7" s="252" t="s">
        <v>89</v>
      </c>
      <c r="H7" s="363"/>
      <c r="I7" s="1278" t="s">
        <v>99</v>
      </c>
      <c r="J7" s="1278"/>
      <c r="K7" s="1281" t="s">
        <v>101</v>
      </c>
      <c r="L7" s="1278"/>
      <c r="M7" s="1281" t="s">
        <v>106</v>
      </c>
      <c r="N7" s="1278"/>
      <c r="O7" s="1281" t="s">
        <v>155</v>
      </c>
      <c r="P7" s="1279"/>
      <c r="Q7" s="1278" t="s">
        <v>160</v>
      </c>
      <c r="R7" s="1279"/>
      <c r="T7" s="1274" t="s">
        <v>142</v>
      </c>
      <c r="U7" s="1275"/>
    </row>
    <row r="8" spans="1:22" ht="12" x14ac:dyDescent="0.2">
      <c r="B8" s="43"/>
      <c r="C8" s="11" t="s">
        <v>0</v>
      </c>
      <c r="D8" s="24" t="s">
        <v>1</v>
      </c>
      <c r="E8" s="11" t="s">
        <v>0</v>
      </c>
      <c r="F8" s="8" t="s">
        <v>1</v>
      </c>
      <c r="G8" s="253" t="s">
        <v>0</v>
      </c>
      <c r="H8" s="337" t="s">
        <v>1</v>
      </c>
      <c r="I8" s="205" t="s">
        <v>0</v>
      </c>
      <c r="J8" s="387" t="s">
        <v>1</v>
      </c>
      <c r="K8" s="253" t="s">
        <v>0</v>
      </c>
      <c r="L8" s="387" t="s">
        <v>1</v>
      </c>
      <c r="M8" s="253" t="s">
        <v>0</v>
      </c>
      <c r="N8" s="337" t="s">
        <v>1</v>
      </c>
      <c r="O8" s="205" t="s">
        <v>0</v>
      </c>
      <c r="P8" s="337" t="s">
        <v>1</v>
      </c>
      <c r="Q8" s="205" t="s">
        <v>0</v>
      </c>
      <c r="R8" s="337" t="s">
        <v>1</v>
      </c>
      <c r="T8" s="628" t="s">
        <v>0</v>
      </c>
      <c r="U8" s="589" t="s">
        <v>1</v>
      </c>
    </row>
    <row r="9" spans="1:22" thickBot="1" x14ac:dyDescent="0.25">
      <c r="B9" s="44"/>
      <c r="C9" s="75" t="s">
        <v>2</v>
      </c>
      <c r="D9" s="76" t="s">
        <v>3</v>
      </c>
      <c r="E9" s="75" t="s">
        <v>2</v>
      </c>
      <c r="F9" s="249" t="s">
        <v>3</v>
      </c>
      <c r="G9" s="254" t="s">
        <v>2</v>
      </c>
      <c r="H9" s="354" t="s">
        <v>3</v>
      </c>
      <c r="I9" s="336" t="s">
        <v>2</v>
      </c>
      <c r="J9" s="373" t="s">
        <v>3</v>
      </c>
      <c r="K9" s="254" t="s">
        <v>2</v>
      </c>
      <c r="L9" s="373" t="s">
        <v>3</v>
      </c>
      <c r="M9" s="254" t="s">
        <v>2</v>
      </c>
      <c r="N9" s="354" t="s">
        <v>3</v>
      </c>
      <c r="O9" s="336" t="s">
        <v>2</v>
      </c>
      <c r="P9" s="354" t="s">
        <v>3</v>
      </c>
      <c r="Q9" s="336" t="s">
        <v>2</v>
      </c>
      <c r="R9" s="354" t="s">
        <v>3</v>
      </c>
      <c r="T9" s="628" t="s">
        <v>2</v>
      </c>
      <c r="U9" s="589" t="s">
        <v>3</v>
      </c>
    </row>
    <row r="10" spans="1:22" ht="12" x14ac:dyDescent="0.2">
      <c r="B10" s="45" t="s">
        <v>4</v>
      </c>
      <c r="C10" s="77"/>
      <c r="D10" s="78"/>
      <c r="E10" s="77"/>
      <c r="F10" s="97"/>
      <c r="G10" s="255"/>
      <c r="H10" s="122"/>
      <c r="I10" s="121"/>
      <c r="J10" s="250"/>
      <c r="K10" s="255"/>
      <c r="L10" s="250"/>
      <c r="M10" s="255"/>
      <c r="N10" s="122"/>
      <c r="O10" s="121"/>
      <c r="P10" s="122"/>
      <c r="Q10" s="121"/>
      <c r="R10" s="122"/>
      <c r="T10" s="629"/>
      <c r="U10" s="596"/>
    </row>
    <row r="11" spans="1:22" ht="12" x14ac:dyDescent="0.2">
      <c r="B11" s="326" t="s">
        <v>40</v>
      </c>
      <c r="C11" s="120"/>
      <c r="D11" s="26"/>
      <c r="E11" s="14"/>
      <c r="F11" s="15"/>
      <c r="G11" s="118"/>
      <c r="H11" s="119"/>
      <c r="I11" s="120"/>
      <c r="J11" s="374"/>
      <c r="K11" s="118"/>
      <c r="L11" s="374"/>
      <c r="M11" s="118"/>
      <c r="N11" s="119"/>
      <c r="O11" s="120"/>
      <c r="P11" s="119"/>
      <c r="Q11" s="120"/>
      <c r="R11" s="119"/>
      <c r="T11" s="4"/>
      <c r="U11" s="609"/>
    </row>
    <row r="12" spans="1:22" ht="12" x14ac:dyDescent="0.2">
      <c r="B12" s="47" t="s">
        <v>145</v>
      </c>
      <c r="C12" s="201">
        <v>435</v>
      </c>
      <c r="D12" s="81">
        <v>208</v>
      </c>
      <c r="E12" s="80">
        <f>424+9</f>
        <v>433</v>
      </c>
      <c r="F12" s="248">
        <v>230</v>
      </c>
      <c r="G12" s="308">
        <v>368</v>
      </c>
      <c r="H12" s="356">
        <v>204</v>
      </c>
      <c r="I12" s="201">
        <v>350</v>
      </c>
      <c r="J12" s="377">
        <f>162+10+1</f>
        <v>173</v>
      </c>
      <c r="K12" s="308">
        <v>353</v>
      </c>
      <c r="L12" s="377">
        <f>187+1</f>
        <v>188</v>
      </c>
      <c r="M12" s="308">
        <f>352+10</f>
        <v>362</v>
      </c>
      <c r="N12" s="356">
        <f>17+156</f>
        <v>173</v>
      </c>
      <c r="O12" s="201">
        <f>360+3+2</f>
        <v>365</v>
      </c>
      <c r="P12" s="893"/>
      <c r="Q12" s="961"/>
      <c r="R12" s="893"/>
      <c r="T12" s="630">
        <f>AVERAGE(O12,M12,K12,I12,G12)</f>
        <v>359.6</v>
      </c>
      <c r="U12" s="598">
        <f>AVERAGE(P12,N12,L12,J12,H12)</f>
        <v>184.5</v>
      </c>
    </row>
    <row r="13" spans="1:22" thickBot="1" x14ac:dyDescent="0.25">
      <c r="B13" s="48" t="s">
        <v>32</v>
      </c>
      <c r="C13" s="79">
        <v>49</v>
      </c>
      <c r="D13" s="36">
        <v>28</v>
      </c>
      <c r="E13" s="79">
        <v>13</v>
      </c>
      <c r="F13" s="41">
        <v>0</v>
      </c>
      <c r="G13" s="133">
        <v>1</v>
      </c>
      <c r="H13" s="134">
        <v>0</v>
      </c>
      <c r="I13" s="440">
        <v>2</v>
      </c>
      <c r="J13" s="391">
        <v>0</v>
      </c>
      <c r="K13" s="133">
        <v>1</v>
      </c>
      <c r="L13" s="391">
        <v>0</v>
      </c>
      <c r="M13" s="133">
        <v>1</v>
      </c>
      <c r="N13" s="134">
        <v>0</v>
      </c>
      <c r="O13" s="440">
        <v>0</v>
      </c>
      <c r="P13" s="894"/>
      <c r="Q13" s="369"/>
      <c r="R13" s="894"/>
      <c r="T13" s="839">
        <f>AVERAGE(O13,M13,K13,I13,G13)</f>
        <v>1</v>
      </c>
      <c r="U13" s="838">
        <f>AVERAGE(P13,N13,L13,J13,H13)</f>
        <v>0</v>
      </c>
    </row>
    <row r="14" spans="1:22" thickTop="1" x14ac:dyDescent="0.2">
      <c r="B14" s="135" t="s">
        <v>98</v>
      </c>
      <c r="C14" s="37"/>
      <c r="D14" s="38"/>
      <c r="E14" s="37"/>
      <c r="F14" s="38"/>
      <c r="G14" s="138"/>
      <c r="H14" s="137"/>
      <c r="I14" s="138"/>
      <c r="J14" s="137"/>
      <c r="K14" s="138"/>
      <c r="L14" s="137"/>
      <c r="M14" s="496"/>
      <c r="N14" s="137"/>
      <c r="O14" s="496"/>
      <c r="P14" s="137"/>
      <c r="Q14" s="496"/>
      <c r="R14" s="137"/>
      <c r="T14" s="627"/>
      <c r="U14" s="627"/>
    </row>
    <row r="15" spans="1:22" thickBot="1" x14ac:dyDescent="0.25">
      <c r="C15" s="37"/>
      <c r="D15" s="38"/>
      <c r="E15" s="37"/>
      <c r="F15" s="38"/>
      <c r="G15" s="138"/>
      <c r="H15" s="137"/>
      <c r="I15" s="138"/>
      <c r="J15" s="137"/>
      <c r="K15" s="138"/>
      <c r="L15" s="137"/>
      <c r="M15" s="138"/>
      <c r="N15" s="137"/>
      <c r="O15" s="138"/>
      <c r="P15" s="137"/>
      <c r="Q15" s="138"/>
      <c r="R15" s="137"/>
      <c r="T15" s="580"/>
      <c r="U15" s="580"/>
    </row>
    <row r="16" spans="1:22" ht="14.25" customHeight="1" thickTop="1" thickBot="1" x14ac:dyDescent="0.25">
      <c r="B16" s="270"/>
      <c r="C16" s="1227" t="s">
        <v>28</v>
      </c>
      <c r="D16" s="1226"/>
      <c r="E16" s="1227" t="s">
        <v>29</v>
      </c>
      <c r="F16" s="1227"/>
      <c r="G16" s="1231" t="s">
        <v>89</v>
      </c>
      <c r="H16" s="1221"/>
      <c r="I16" s="1220" t="s">
        <v>99</v>
      </c>
      <c r="J16" s="1220"/>
      <c r="K16" s="1231" t="s">
        <v>101</v>
      </c>
      <c r="L16" s="1220"/>
      <c r="M16" s="1231" t="s">
        <v>106</v>
      </c>
      <c r="N16" s="1221"/>
      <c r="O16" s="1220" t="s">
        <v>155</v>
      </c>
      <c r="P16" s="1221"/>
      <c r="Q16" s="1220" t="s">
        <v>160</v>
      </c>
      <c r="R16" s="1221"/>
      <c r="T16" s="1276" t="s">
        <v>142</v>
      </c>
      <c r="U16" s="1277"/>
    </row>
    <row r="17" spans="1:24" ht="12" x14ac:dyDescent="0.2">
      <c r="B17" s="45" t="s">
        <v>7</v>
      </c>
      <c r="C17" s="21"/>
      <c r="D17" s="65"/>
      <c r="E17" s="21"/>
      <c r="F17" s="21"/>
      <c r="G17" s="229"/>
      <c r="H17" s="339"/>
      <c r="I17" s="207"/>
      <c r="J17" s="207"/>
      <c r="K17" s="229"/>
      <c r="L17" s="207"/>
      <c r="M17" s="229"/>
      <c r="N17" s="339"/>
      <c r="O17" s="207"/>
      <c r="P17" s="339"/>
      <c r="Q17" s="932"/>
      <c r="R17" s="933"/>
      <c r="T17" s="599"/>
      <c r="U17" s="609"/>
    </row>
    <row r="18" spans="1:24" ht="12" x14ac:dyDescent="0.2">
      <c r="B18" s="50" t="s">
        <v>8</v>
      </c>
      <c r="C18" s="20"/>
      <c r="D18" s="66"/>
      <c r="E18" s="20"/>
      <c r="F18" s="20"/>
      <c r="G18" s="228"/>
      <c r="H18" s="360"/>
      <c r="I18" s="208"/>
      <c r="J18" s="208"/>
      <c r="K18" s="228"/>
      <c r="L18" s="208"/>
      <c r="M18" s="228"/>
      <c r="N18" s="360"/>
      <c r="O18" s="208"/>
      <c r="P18" s="360"/>
      <c r="Q18" s="88"/>
      <c r="R18" s="934"/>
      <c r="T18" s="599"/>
      <c r="U18" s="609"/>
    </row>
    <row r="19" spans="1:24" ht="12" x14ac:dyDescent="0.2">
      <c r="B19" s="50" t="s">
        <v>9</v>
      </c>
      <c r="C19" s="20"/>
      <c r="D19" s="67">
        <v>397</v>
      </c>
      <c r="E19" s="20"/>
      <c r="F19" s="116">
        <v>334</v>
      </c>
      <c r="G19" s="228"/>
      <c r="H19" s="340">
        <v>371</v>
      </c>
      <c r="I19" s="208"/>
      <c r="J19" s="313">
        <v>498</v>
      </c>
      <c r="K19" s="228"/>
      <c r="L19" s="313">
        <v>499</v>
      </c>
      <c r="M19" s="228"/>
      <c r="N19" s="340">
        <v>684</v>
      </c>
      <c r="O19" s="208"/>
      <c r="P19" s="340">
        <v>998</v>
      </c>
      <c r="Q19" s="88"/>
      <c r="R19" s="784"/>
      <c r="T19" s="599"/>
      <c r="U19" s="608">
        <f>AVERAGE(P19,L19,J19,H19,N19)</f>
        <v>610</v>
      </c>
    </row>
    <row r="20" spans="1:24" ht="12" x14ac:dyDescent="0.2">
      <c r="B20" s="50" t="s">
        <v>10</v>
      </c>
      <c r="C20" s="20"/>
      <c r="D20" s="67">
        <v>9020</v>
      </c>
      <c r="E20" s="20"/>
      <c r="F20" s="116">
        <v>8913</v>
      </c>
      <c r="G20" s="228"/>
      <c r="H20" s="340">
        <v>8002</v>
      </c>
      <c r="I20" s="208"/>
      <c r="J20" s="313">
        <v>7818</v>
      </c>
      <c r="K20" s="228"/>
      <c r="L20" s="313">
        <v>7765</v>
      </c>
      <c r="M20" s="228"/>
      <c r="N20" s="340">
        <v>7287</v>
      </c>
      <c r="O20" s="208"/>
      <c r="P20" s="340">
        <v>7651</v>
      </c>
      <c r="Q20" s="88"/>
      <c r="R20" s="784"/>
      <c r="T20" s="599"/>
      <c r="U20" s="608">
        <f>AVERAGE(P20,L20,J20,H20,N20)</f>
        <v>7704.6</v>
      </c>
    </row>
    <row r="21" spans="1:24" ht="12" x14ac:dyDescent="0.2">
      <c r="B21" s="50" t="s">
        <v>11</v>
      </c>
      <c r="C21" s="20"/>
      <c r="D21" s="67">
        <v>3904</v>
      </c>
      <c r="E21" s="20"/>
      <c r="F21" s="116">
        <v>1749</v>
      </c>
      <c r="G21" s="228"/>
      <c r="H21" s="340">
        <v>381</v>
      </c>
      <c r="I21" s="208"/>
      <c r="J21" s="313"/>
      <c r="K21" s="228"/>
      <c r="L21" s="313"/>
      <c r="M21" s="228"/>
      <c r="N21" s="340"/>
      <c r="O21" s="208"/>
      <c r="P21" s="340"/>
      <c r="Q21" s="88"/>
      <c r="R21" s="784"/>
      <c r="T21" s="87"/>
      <c r="U21" s="608">
        <f>AVERAGE(P21,L21,J21,H21,N21)</f>
        <v>381</v>
      </c>
    </row>
    <row r="22" spans="1:24" ht="12" x14ac:dyDescent="0.2">
      <c r="B22" s="50" t="s">
        <v>12</v>
      </c>
      <c r="C22" s="20"/>
      <c r="D22" s="67">
        <v>346</v>
      </c>
      <c r="E22" s="20"/>
      <c r="F22" s="116">
        <v>259</v>
      </c>
      <c r="G22" s="228"/>
      <c r="H22" s="340">
        <v>211</v>
      </c>
      <c r="I22" s="208"/>
      <c r="J22" s="313"/>
      <c r="K22" s="228"/>
      <c r="L22" s="313"/>
      <c r="M22" s="228"/>
      <c r="N22" s="340"/>
      <c r="O22" s="208"/>
      <c r="P22" s="340"/>
      <c r="Q22" s="88"/>
      <c r="R22" s="784"/>
      <c r="T22" s="87"/>
      <c r="U22" s="608">
        <f>AVERAGE(P22,L22,J22,H22,N22)</f>
        <v>211</v>
      </c>
    </row>
    <row r="23" spans="1:24" thickBot="1" x14ac:dyDescent="0.25">
      <c r="B23" s="51" t="s">
        <v>13</v>
      </c>
      <c r="C23" s="762"/>
      <c r="D23" s="140">
        <f>SUM(D19:D22)</f>
        <v>13667</v>
      </c>
      <c r="E23" s="30"/>
      <c r="F23" s="54">
        <f>SUM(F19:F22)</f>
        <v>11255</v>
      </c>
      <c r="G23" s="310"/>
      <c r="H23" s="471">
        <f>SUM(H19:H22)</f>
        <v>8965</v>
      </c>
      <c r="I23" s="209"/>
      <c r="J23" s="379">
        <f>SUM(J19:J22)</f>
        <v>8316</v>
      </c>
      <c r="K23" s="256"/>
      <c r="L23" s="389">
        <f>SUM(L19:L22)</f>
        <v>8264</v>
      </c>
      <c r="M23" s="256"/>
      <c r="N23" s="389">
        <f>SUM(N19:N22)</f>
        <v>7971</v>
      </c>
      <c r="O23" s="256"/>
      <c r="P23" s="351">
        <f>SUM(P19:P22)</f>
        <v>8649</v>
      </c>
      <c r="Q23" s="935"/>
      <c r="R23" s="900">
        <f>SUM(R19:R22)</f>
        <v>0</v>
      </c>
      <c r="T23" s="600"/>
      <c r="U23" s="654">
        <f>AVERAGE(P23,L23,J23,H23,N23)</f>
        <v>8433</v>
      </c>
    </row>
    <row r="24" spans="1:24" ht="14.25" thickTop="1" thickBot="1" x14ac:dyDescent="0.25">
      <c r="A24" s="430"/>
      <c r="B24" s="763" t="s">
        <v>141</v>
      </c>
      <c r="C24" s="1228" t="s">
        <v>30</v>
      </c>
      <c r="D24" s="1229"/>
      <c r="E24" s="1230" t="s">
        <v>31</v>
      </c>
      <c r="F24" s="1229"/>
      <c r="G24" s="1249" t="s">
        <v>110</v>
      </c>
      <c r="H24" s="1222"/>
      <c r="I24" s="1249" t="s">
        <v>111</v>
      </c>
      <c r="J24" s="1252"/>
      <c r="K24" s="1249" t="s">
        <v>128</v>
      </c>
      <c r="L24" s="1252"/>
      <c r="M24" s="1254" t="s">
        <v>129</v>
      </c>
      <c r="N24" s="1282"/>
      <c r="O24" s="1218" t="s">
        <v>156</v>
      </c>
      <c r="P24" s="1222"/>
      <c r="Q24" s="1370" t="s">
        <v>161</v>
      </c>
      <c r="R24" s="1371"/>
      <c r="S24" s="625"/>
      <c r="T24" s="1255" t="s">
        <v>142</v>
      </c>
      <c r="U24" s="1256"/>
      <c r="V24" s="397"/>
      <c r="W24" s="397"/>
      <c r="X24" s="432"/>
    </row>
    <row r="25" spans="1:24" x14ac:dyDescent="0.2">
      <c r="A25" s="430"/>
      <c r="B25" s="764" t="s">
        <v>115</v>
      </c>
      <c r="C25" s="1239">
        <v>0.6</v>
      </c>
      <c r="D25" s="1240"/>
      <c r="E25" s="1269">
        <v>0.76</v>
      </c>
      <c r="F25" s="1335"/>
      <c r="G25" s="1269">
        <v>0.90300000000000002</v>
      </c>
      <c r="H25" s="1335"/>
      <c r="I25" s="1241">
        <v>0.96599999999999997</v>
      </c>
      <c r="J25" s="1270"/>
      <c r="K25" s="567"/>
      <c r="L25" s="568">
        <v>0.97899999999999998</v>
      </c>
      <c r="M25" s="836"/>
      <c r="N25" s="756">
        <v>0.92800000000000005</v>
      </c>
      <c r="O25" s="767"/>
      <c r="P25" s="756">
        <v>0.98</v>
      </c>
      <c r="Q25" s="901"/>
      <c r="R25" s="902"/>
      <c r="S25" s="769"/>
      <c r="T25" s="570"/>
      <c r="U25" s="615">
        <f>AVERAGE(P25,N25,L25,I25,G25)</f>
        <v>0.95120000000000005</v>
      </c>
      <c r="V25" s="397"/>
      <c r="W25" s="397"/>
      <c r="X25" s="432"/>
    </row>
    <row r="26" spans="1:24" x14ac:dyDescent="0.2">
      <c r="A26" s="430"/>
      <c r="B26" s="765" t="s">
        <v>116</v>
      </c>
      <c r="C26" s="1247">
        <v>4.9000000000000002E-2</v>
      </c>
      <c r="D26" s="1248"/>
      <c r="E26" s="1272">
        <v>2E-3</v>
      </c>
      <c r="F26" s="1338"/>
      <c r="G26" s="1272">
        <v>5.0000000000000001E-3</v>
      </c>
      <c r="H26" s="1338"/>
      <c r="I26" s="1234">
        <v>0</v>
      </c>
      <c r="J26" s="1273"/>
      <c r="K26" s="573"/>
      <c r="L26" s="574">
        <v>0</v>
      </c>
      <c r="M26" s="837"/>
      <c r="N26" s="757">
        <v>0</v>
      </c>
      <c r="O26" s="768"/>
      <c r="P26" s="757">
        <v>0</v>
      </c>
      <c r="Q26" s="903"/>
      <c r="R26" s="904"/>
      <c r="S26" s="769"/>
      <c r="T26" s="570"/>
      <c r="U26" s="615">
        <f>AVERAGE(P26,N26,L26,I26,G26)</f>
        <v>1E-3</v>
      </c>
      <c r="V26" s="397"/>
      <c r="W26" s="397"/>
      <c r="X26" s="432"/>
    </row>
    <row r="27" spans="1:24" thickBot="1" x14ac:dyDescent="0.25">
      <c r="B27" s="766" t="s">
        <v>117</v>
      </c>
      <c r="C27" s="1236">
        <f>1-C25-C26</f>
        <v>0.35100000000000003</v>
      </c>
      <c r="D27" s="1237"/>
      <c r="E27" s="1280">
        <f>1-E25-E26</f>
        <v>0.23799999999999999</v>
      </c>
      <c r="F27" s="1224"/>
      <c r="G27" s="1280">
        <f>1-G25-G26</f>
        <v>9.1999999999999971E-2</v>
      </c>
      <c r="H27" s="1224"/>
      <c r="I27" s="1238">
        <f>1-I25-I26</f>
        <v>3.400000000000003E-2</v>
      </c>
      <c r="J27" s="1237"/>
      <c r="K27" s="1238">
        <f>1-L25-L26</f>
        <v>2.1000000000000019E-2</v>
      </c>
      <c r="L27" s="1237"/>
      <c r="M27" s="1280">
        <f>1-N25-N26</f>
        <v>7.1999999999999953E-2</v>
      </c>
      <c r="N27" s="1224"/>
      <c r="O27" s="1223">
        <f>1-P25-P26</f>
        <v>2.0000000000000018E-2</v>
      </c>
      <c r="P27" s="1224"/>
      <c r="Q27" s="1253"/>
      <c r="R27" s="1246"/>
      <c r="S27" s="769"/>
      <c r="T27" s="564"/>
      <c r="U27" s="779">
        <f>AVERAGE(P27,N27,L27,I27,G27)</f>
        <v>6.3E-2</v>
      </c>
      <c r="V27" s="397"/>
      <c r="W27" s="397"/>
      <c r="X27" s="432"/>
    </row>
    <row r="28" spans="1:24" thickTop="1" x14ac:dyDescent="0.2">
      <c r="B28" s="92"/>
      <c r="C28" s="93"/>
      <c r="D28" s="94"/>
      <c r="E28" s="93"/>
      <c r="F28" s="94"/>
      <c r="G28" s="210"/>
      <c r="H28" s="211"/>
      <c r="I28" s="210"/>
      <c r="J28" s="211"/>
      <c r="K28" s="210"/>
      <c r="L28" s="211"/>
      <c r="M28" s="210"/>
      <c r="N28" s="211"/>
      <c r="O28" s="210"/>
      <c r="P28" s="211"/>
      <c r="Q28" s="210"/>
      <c r="R28" s="211"/>
    </row>
    <row r="29" spans="1:24" x14ac:dyDescent="0.2">
      <c r="A29" s="95" t="s">
        <v>45</v>
      </c>
      <c r="B29" s="82"/>
      <c r="C29" s="22"/>
      <c r="D29" s="22"/>
      <c r="E29" s="22"/>
      <c r="F29" s="22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</row>
    <row r="30" spans="1:24" ht="13.5" thickBot="1" x14ac:dyDescent="0.25">
      <c r="A30" s="95"/>
      <c r="B30" s="82"/>
      <c r="C30" s="22"/>
      <c r="D30" s="22"/>
      <c r="E30" s="22"/>
      <c r="F30" s="22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</row>
    <row r="31" spans="1:24" ht="14.25" thickTop="1" thickBot="1" x14ac:dyDescent="0.25">
      <c r="A31" s="3"/>
      <c r="B31" s="288" t="s">
        <v>46</v>
      </c>
      <c r="C31" s="1227" t="s">
        <v>28</v>
      </c>
      <c r="D31" s="1226"/>
      <c r="E31" s="1225" t="s">
        <v>29</v>
      </c>
      <c r="F31" s="1227"/>
      <c r="G31" s="1231" t="s">
        <v>89</v>
      </c>
      <c r="H31" s="1221"/>
      <c r="I31" s="1231" t="s">
        <v>99</v>
      </c>
      <c r="J31" s="1220"/>
      <c r="K31" s="1231" t="s">
        <v>101</v>
      </c>
      <c r="L31" s="1220"/>
      <c r="M31" s="1231" t="s">
        <v>106</v>
      </c>
      <c r="N31" s="1221"/>
      <c r="O31" s="1220" t="s">
        <v>155</v>
      </c>
      <c r="P31" s="1221"/>
      <c r="Q31" s="1220" t="s">
        <v>160</v>
      </c>
      <c r="R31" s="1221"/>
      <c r="T31" s="1250" t="s">
        <v>142</v>
      </c>
      <c r="U31" s="1251"/>
    </row>
    <row r="32" spans="1:24" x14ac:dyDescent="0.2">
      <c r="A32" s="3"/>
      <c r="B32" s="291" t="s">
        <v>47</v>
      </c>
      <c r="C32" s="20"/>
      <c r="D32" s="66"/>
      <c r="E32" s="58"/>
      <c r="F32" s="20"/>
      <c r="G32" s="228"/>
      <c r="H32" s="360"/>
      <c r="I32" s="207"/>
      <c r="J32" s="207"/>
      <c r="K32" s="229"/>
      <c r="L32" s="207"/>
      <c r="M32" s="229"/>
      <c r="N32" s="339"/>
      <c r="O32" s="207"/>
      <c r="P32" s="895"/>
      <c r="Q32" s="932"/>
      <c r="R32" s="936"/>
      <c r="T32" s="484"/>
      <c r="U32" s="607"/>
    </row>
    <row r="33" spans="1:21" x14ac:dyDescent="0.2">
      <c r="A33" s="3"/>
      <c r="B33" s="289" t="s">
        <v>48</v>
      </c>
      <c r="C33" s="21"/>
      <c r="D33" s="141">
        <v>938814</v>
      </c>
      <c r="E33" s="57"/>
      <c r="F33" s="257">
        <v>1245360</v>
      </c>
      <c r="G33" s="229"/>
      <c r="H33" s="238">
        <v>1461407</v>
      </c>
      <c r="I33" s="207"/>
      <c r="J33" s="257">
        <v>1458860</v>
      </c>
      <c r="K33" s="229"/>
      <c r="L33" s="257">
        <v>1432671</v>
      </c>
      <c r="M33" s="229"/>
      <c r="N33" s="238">
        <v>1393730</v>
      </c>
      <c r="O33" s="207"/>
      <c r="P33" s="238">
        <v>1268223</v>
      </c>
      <c r="Q33" s="932"/>
      <c r="R33" s="937"/>
      <c r="T33" s="599"/>
      <c r="U33" s="631">
        <f>AVERAGE(P33,N33,L33,J33,H33)</f>
        <v>1402978.2</v>
      </c>
    </row>
    <row r="34" spans="1:21" ht="36" x14ac:dyDescent="0.2">
      <c r="A34" s="3"/>
      <c r="B34" s="103" t="s">
        <v>58</v>
      </c>
      <c r="C34" s="20"/>
      <c r="D34" s="142">
        <v>785112</v>
      </c>
      <c r="E34" s="58"/>
      <c r="F34" s="258">
        <v>199274</v>
      </c>
      <c r="G34" s="228"/>
      <c r="H34" s="239">
        <v>218483</v>
      </c>
      <c r="I34" s="208"/>
      <c r="J34" s="258">
        <v>253058</v>
      </c>
      <c r="K34" s="228"/>
      <c r="L34" s="258">
        <v>241047</v>
      </c>
      <c r="M34" s="228"/>
      <c r="N34" s="239">
        <v>204928</v>
      </c>
      <c r="O34" s="208"/>
      <c r="P34" s="239">
        <v>328798</v>
      </c>
      <c r="Q34" s="88"/>
      <c r="R34" s="938"/>
      <c r="T34" s="599"/>
      <c r="U34" s="631">
        <f>AVERAGE(P34,N34,L34,J34,H34)</f>
        <v>249262.8</v>
      </c>
    </row>
    <row r="35" spans="1:21" x14ac:dyDescent="0.2">
      <c r="A35" s="3"/>
      <c r="B35" s="290" t="s">
        <v>49</v>
      </c>
      <c r="C35" s="96"/>
      <c r="D35" s="144">
        <f>SUM(D33:D34)</f>
        <v>1723926</v>
      </c>
      <c r="E35" s="143"/>
      <c r="F35" s="160">
        <f>SUM(F33:F34)</f>
        <v>1444634</v>
      </c>
      <c r="G35" s="230"/>
      <c r="H35" s="240">
        <f>SUM(H33:H34)</f>
        <v>1679890</v>
      </c>
      <c r="I35" s="212"/>
      <c r="J35" s="259">
        <f>SUM(J33:J34)</f>
        <v>1711918</v>
      </c>
      <c r="K35" s="230"/>
      <c r="L35" s="259">
        <f>SUM(L33:L34)</f>
        <v>1673718</v>
      </c>
      <c r="M35" s="230"/>
      <c r="N35" s="240">
        <f>SUM(N33:N34)</f>
        <v>1598658</v>
      </c>
      <c r="O35" s="230"/>
      <c r="P35" s="240">
        <f>SUM(P33:P34)</f>
        <v>1597021</v>
      </c>
      <c r="Q35" s="939"/>
      <c r="R35" s="940"/>
      <c r="T35" s="599"/>
      <c r="U35" s="719">
        <f>AVERAGE(P35,N35,L35,J35,H35)</f>
        <v>1652241</v>
      </c>
    </row>
    <row r="36" spans="1:21" x14ac:dyDescent="0.2">
      <c r="A36" s="3"/>
      <c r="B36" s="291" t="s">
        <v>50</v>
      </c>
      <c r="C36" s="20"/>
      <c r="D36" s="142"/>
      <c r="E36" s="58"/>
      <c r="F36" s="159"/>
      <c r="G36" s="228"/>
      <c r="H36" s="239"/>
      <c r="I36" s="208"/>
      <c r="J36" s="258"/>
      <c r="K36" s="228"/>
      <c r="L36" s="258"/>
      <c r="M36" s="228"/>
      <c r="N36" s="239"/>
      <c r="O36" s="208"/>
      <c r="P36" s="239"/>
      <c r="Q36" s="88"/>
      <c r="R36" s="938"/>
      <c r="T36" s="599"/>
      <c r="U36" s="608"/>
    </row>
    <row r="37" spans="1:21" x14ac:dyDescent="0.2">
      <c r="A37" s="3"/>
      <c r="B37" s="289" t="s">
        <v>48</v>
      </c>
      <c r="C37" s="20"/>
      <c r="D37" s="142"/>
      <c r="E37" s="58"/>
      <c r="F37" s="159"/>
      <c r="G37" s="228"/>
      <c r="H37" s="239"/>
      <c r="I37" s="208"/>
      <c r="J37" s="258"/>
      <c r="K37" s="228"/>
      <c r="L37" s="258"/>
      <c r="M37" s="228"/>
      <c r="N37" s="239"/>
      <c r="O37" s="208"/>
      <c r="P37" s="239"/>
      <c r="Q37" s="88"/>
      <c r="R37" s="938"/>
      <c r="T37" s="599"/>
      <c r="U37" s="608"/>
    </row>
    <row r="38" spans="1:21" ht="36" x14ac:dyDescent="0.2">
      <c r="A38" s="3"/>
      <c r="B38" s="103" t="s">
        <v>58</v>
      </c>
      <c r="C38" s="20"/>
      <c r="D38" s="142"/>
      <c r="E38" s="58"/>
      <c r="F38" s="159"/>
      <c r="G38" s="228"/>
      <c r="H38" s="239"/>
      <c r="I38" s="208"/>
      <c r="J38" s="258"/>
      <c r="K38" s="228"/>
      <c r="L38" s="258"/>
      <c r="M38" s="228"/>
      <c r="N38" s="239"/>
      <c r="O38" s="208"/>
      <c r="P38" s="239"/>
      <c r="Q38" s="88"/>
      <c r="R38" s="938"/>
      <c r="T38" s="599"/>
      <c r="U38" s="608"/>
    </row>
    <row r="39" spans="1:21" x14ac:dyDescent="0.2">
      <c r="A39" s="3"/>
      <c r="B39" s="290" t="s">
        <v>51</v>
      </c>
      <c r="C39" s="96"/>
      <c r="D39" s="144">
        <f>SUM(D37:D38)</f>
        <v>0</v>
      </c>
      <c r="E39" s="143"/>
      <c r="F39" s="160">
        <f>SUM(F37:F38)</f>
        <v>0</v>
      </c>
      <c r="G39" s="230"/>
      <c r="H39" s="240">
        <f>SUM(H37:H38)</f>
        <v>0</v>
      </c>
      <c r="I39" s="212"/>
      <c r="J39" s="259">
        <f>SUM(J37:J38)</f>
        <v>0</v>
      </c>
      <c r="K39" s="230"/>
      <c r="L39" s="259">
        <f>SUM(L37:L38)</f>
        <v>0</v>
      </c>
      <c r="M39" s="230"/>
      <c r="N39" s="240">
        <f>SUM(N37:N38)</f>
        <v>0</v>
      </c>
      <c r="O39" s="212"/>
      <c r="P39" s="240"/>
      <c r="Q39" s="939"/>
      <c r="R39" s="940">
        <f>SUM(R37:R38)</f>
        <v>0</v>
      </c>
      <c r="T39" s="599"/>
      <c r="U39" s="608">
        <f>AVERAGE(P39,N39,L39,J39,H39)</f>
        <v>0</v>
      </c>
    </row>
    <row r="40" spans="1:21" ht="13.5" thickBot="1" x14ac:dyDescent="0.25">
      <c r="A40" s="3"/>
      <c r="B40" s="292" t="s">
        <v>52</v>
      </c>
      <c r="C40" s="20"/>
      <c r="D40" s="144">
        <f>SUM(D35,D39)</f>
        <v>1723926</v>
      </c>
      <c r="E40" s="58"/>
      <c r="F40" s="160">
        <f>SUM(F35,F39)</f>
        <v>1444634</v>
      </c>
      <c r="G40" s="228"/>
      <c r="H40" s="240">
        <f>SUM(H35,H39)</f>
        <v>1679890</v>
      </c>
      <c r="I40" s="208"/>
      <c r="J40" s="259">
        <f>SUM(J35,J39)</f>
        <v>1711918</v>
      </c>
      <c r="K40" s="228"/>
      <c r="L40" s="259">
        <f>SUM(L35,L39)</f>
        <v>1673718</v>
      </c>
      <c r="M40" s="228"/>
      <c r="N40" s="240">
        <f>SUM(N35,N39)</f>
        <v>1598658</v>
      </c>
      <c r="O40" s="228"/>
      <c r="P40" s="240">
        <f>SUM(P35,P39)</f>
        <v>1597021</v>
      </c>
      <c r="Q40" s="88"/>
      <c r="R40" s="940">
        <f>SUM(R35,R39)</f>
        <v>0</v>
      </c>
      <c r="T40" s="601"/>
      <c r="U40" s="655">
        <f>AVERAGE(P40,N40,L40,J40,H40)</f>
        <v>1652241</v>
      </c>
    </row>
    <row r="41" spans="1:21" ht="12" x14ac:dyDescent="0.2">
      <c r="B41" s="293" t="s">
        <v>53</v>
      </c>
      <c r="C41" s="98"/>
      <c r="D41" s="146"/>
      <c r="E41" s="145"/>
      <c r="F41" s="98"/>
      <c r="G41" s="231"/>
      <c r="H41" s="344"/>
      <c r="I41" s="213"/>
      <c r="J41" s="213"/>
      <c r="K41" s="231"/>
      <c r="L41" s="213"/>
      <c r="M41" s="231"/>
      <c r="N41" s="344"/>
      <c r="O41" s="213"/>
      <c r="P41" s="344"/>
      <c r="Q41" s="941"/>
      <c r="R41" s="942"/>
      <c r="T41" s="484"/>
      <c r="U41" s="653"/>
    </row>
    <row r="42" spans="1:21" ht="12" x14ac:dyDescent="0.2">
      <c r="B42" s="4" t="s">
        <v>14</v>
      </c>
      <c r="C42" s="31"/>
      <c r="D42" s="68">
        <f>107243+1044684</f>
        <v>1151927</v>
      </c>
      <c r="E42" s="147"/>
      <c r="F42" s="314">
        <v>1335138</v>
      </c>
      <c r="G42" s="232"/>
      <c r="H42" s="316">
        <v>1599944</v>
      </c>
      <c r="I42" s="214"/>
      <c r="J42" s="314">
        <v>1962268.86</v>
      </c>
      <c r="K42" s="232"/>
      <c r="L42" s="314">
        <f>1203550+165155</f>
        <v>1368705</v>
      </c>
      <c r="M42" s="232"/>
      <c r="N42" s="801">
        <v>2075991</v>
      </c>
      <c r="O42" s="214"/>
      <c r="P42" s="316">
        <v>2029540</v>
      </c>
      <c r="Q42" s="943"/>
      <c r="R42" s="944"/>
      <c r="T42" s="599"/>
      <c r="U42" s="632">
        <f>AVERAGE(P42,N42,L42,J42,H42)</f>
        <v>1807289.7719999999</v>
      </c>
    </row>
    <row r="43" spans="1:21" thickBot="1" x14ac:dyDescent="0.25">
      <c r="B43" s="19" t="s">
        <v>15</v>
      </c>
      <c r="C43" s="32"/>
      <c r="D43" s="69">
        <v>0</v>
      </c>
      <c r="E43" s="148"/>
      <c r="F43" s="317">
        <v>0</v>
      </c>
      <c r="G43" s="233"/>
      <c r="H43" s="318"/>
      <c r="I43" s="215"/>
      <c r="J43" s="317"/>
      <c r="K43" s="233"/>
      <c r="L43" s="317"/>
      <c r="M43" s="233"/>
      <c r="N43" s="802"/>
      <c r="O43" s="215"/>
      <c r="P43" s="318"/>
      <c r="Q43" s="758"/>
      <c r="R43" s="945"/>
      <c r="T43" s="601"/>
      <c r="U43" s="780"/>
    </row>
    <row r="44" spans="1:21" ht="12" x14ac:dyDescent="0.2">
      <c r="B44" s="16"/>
      <c r="C44" s="85" t="s">
        <v>82</v>
      </c>
      <c r="D44" s="150" t="s">
        <v>88</v>
      </c>
      <c r="E44" s="149" t="s">
        <v>82</v>
      </c>
      <c r="F44" s="161" t="s">
        <v>88</v>
      </c>
      <c r="G44" s="234" t="s">
        <v>82</v>
      </c>
      <c r="H44" s="345" t="s">
        <v>88</v>
      </c>
      <c r="I44" s="216" t="s">
        <v>82</v>
      </c>
      <c r="J44" s="359" t="s">
        <v>88</v>
      </c>
      <c r="K44" s="234" t="s">
        <v>82</v>
      </c>
      <c r="L44" s="359" t="s">
        <v>88</v>
      </c>
      <c r="M44" s="234" t="s">
        <v>82</v>
      </c>
      <c r="N44" s="345" t="s">
        <v>88</v>
      </c>
      <c r="O44" s="216" t="s">
        <v>82</v>
      </c>
      <c r="P44" s="345" t="s">
        <v>88</v>
      </c>
      <c r="Q44" s="946" t="s">
        <v>82</v>
      </c>
      <c r="R44" s="947" t="s">
        <v>88</v>
      </c>
      <c r="T44" s="633" t="s">
        <v>82</v>
      </c>
      <c r="U44" s="781" t="s">
        <v>88</v>
      </c>
    </row>
    <row r="45" spans="1:21" ht="11.45" customHeight="1" x14ac:dyDescent="0.2">
      <c r="B45" s="90" t="s">
        <v>37</v>
      </c>
      <c r="C45" s="455">
        <v>3</v>
      </c>
      <c r="D45" s="151">
        <v>0</v>
      </c>
      <c r="E45" s="452">
        <v>2</v>
      </c>
      <c r="F45" s="418">
        <v>0</v>
      </c>
      <c r="G45" s="466">
        <v>3</v>
      </c>
      <c r="H45" s="346">
        <v>0</v>
      </c>
      <c r="I45" s="474">
        <v>8</v>
      </c>
      <c r="J45" s="412">
        <v>56483</v>
      </c>
      <c r="K45" s="474">
        <v>1</v>
      </c>
      <c r="L45" s="414">
        <v>5000</v>
      </c>
      <c r="M45" s="815">
        <v>2</v>
      </c>
      <c r="N45" s="507">
        <v>1081839</v>
      </c>
      <c r="O45" s="815">
        <v>1</v>
      </c>
      <c r="P45" s="507">
        <v>32370</v>
      </c>
      <c r="Q45" s="759"/>
      <c r="R45" s="897"/>
      <c r="T45" s="703">
        <f>AVERAGE(O45,M45,K45,I45,G45)</f>
        <v>3</v>
      </c>
      <c r="U45" s="606">
        <f>AVERAGE(P45,N45,L45,J45,H45)</f>
        <v>235138.4</v>
      </c>
    </row>
    <row r="46" spans="1:21" ht="11.45" customHeight="1" x14ac:dyDescent="0.2">
      <c r="B46" s="90"/>
      <c r="C46" s="456"/>
      <c r="D46" s="152"/>
      <c r="E46" s="453"/>
      <c r="F46" s="200"/>
      <c r="G46" s="467"/>
      <c r="H46" s="347"/>
      <c r="I46" s="470"/>
      <c r="J46" s="347"/>
      <c r="K46" s="470"/>
      <c r="L46" s="380"/>
      <c r="M46" s="468"/>
      <c r="N46" s="508"/>
      <c r="O46" s="468"/>
      <c r="P46" s="508"/>
      <c r="Q46" s="760"/>
      <c r="R46" s="898"/>
      <c r="T46" s="702"/>
      <c r="U46" s="606"/>
    </row>
    <row r="47" spans="1:21" thickBot="1" x14ac:dyDescent="0.25">
      <c r="B47" s="202" t="s">
        <v>16</v>
      </c>
      <c r="C47" s="457">
        <v>2</v>
      </c>
      <c r="D47" s="472">
        <v>4904</v>
      </c>
      <c r="E47" s="454">
        <v>1</v>
      </c>
      <c r="F47" s="413">
        <v>0</v>
      </c>
      <c r="G47" s="473">
        <v>2</v>
      </c>
      <c r="H47" s="413">
        <v>0</v>
      </c>
      <c r="I47" s="460">
        <v>4</v>
      </c>
      <c r="J47" s="413">
        <v>0</v>
      </c>
      <c r="K47" s="460">
        <v>1</v>
      </c>
      <c r="L47" s="415">
        <v>5000</v>
      </c>
      <c r="M47" s="473">
        <v>1</v>
      </c>
      <c r="N47" s="509">
        <v>31870</v>
      </c>
      <c r="O47" s="473">
        <v>1</v>
      </c>
      <c r="P47" s="509">
        <v>32370</v>
      </c>
      <c r="Q47" s="758"/>
      <c r="R47" s="899"/>
      <c r="T47" s="705">
        <f>AVERAGE(O47,M47,K47,I47,G47)</f>
        <v>1.8</v>
      </c>
      <c r="U47" s="603">
        <f>AVERAGE(P47,N47,L47,J47,H47)</f>
        <v>13848</v>
      </c>
    </row>
    <row r="48" spans="1:21" ht="12" x14ac:dyDescent="0.2">
      <c r="B48" s="293" t="s">
        <v>59</v>
      </c>
      <c r="C48" s="104"/>
      <c r="D48" s="163"/>
      <c r="E48" s="153"/>
      <c r="F48" s="260"/>
      <c r="G48" s="261"/>
      <c r="H48" s="348"/>
      <c r="I48" s="219"/>
      <c r="J48" s="381"/>
      <c r="K48" s="261"/>
      <c r="L48" s="381"/>
      <c r="M48" s="261"/>
      <c r="N48" s="348"/>
      <c r="O48" s="219"/>
      <c r="P48" s="348"/>
      <c r="Q48" s="948"/>
      <c r="R48" s="949"/>
      <c r="T48" s="484"/>
      <c r="U48" s="607"/>
    </row>
    <row r="49" spans="1:21" ht="12" x14ac:dyDescent="0.2">
      <c r="B49" s="294" t="s">
        <v>60</v>
      </c>
      <c r="C49" s="83"/>
      <c r="D49" s="164"/>
      <c r="E49" s="154"/>
      <c r="F49" s="38"/>
      <c r="G49" s="262"/>
      <c r="H49" s="349"/>
      <c r="I49" s="220"/>
      <c r="J49" s="137"/>
      <c r="K49" s="262"/>
      <c r="L49" s="137"/>
      <c r="M49" s="262"/>
      <c r="N49" s="349"/>
      <c r="O49" s="220"/>
      <c r="P49" s="349"/>
      <c r="Q49" s="950"/>
      <c r="R49" s="951"/>
      <c r="T49" s="599"/>
      <c r="U49" s="609"/>
    </row>
    <row r="50" spans="1:21" ht="12" x14ac:dyDescent="0.2">
      <c r="B50" s="295" t="s">
        <v>61</v>
      </c>
      <c r="C50" s="33"/>
      <c r="D50" s="165">
        <v>10000</v>
      </c>
      <c r="E50" s="155"/>
      <c r="F50" s="309">
        <v>18530</v>
      </c>
      <c r="G50" s="263"/>
      <c r="H50" s="448">
        <v>16930</v>
      </c>
      <c r="I50" s="443"/>
      <c r="J50" s="450">
        <v>40712.5</v>
      </c>
      <c r="K50" s="444"/>
      <c r="L50" s="495">
        <v>36053</v>
      </c>
      <c r="M50" s="444"/>
      <c r="N50" s="825">
        <v>29305</v>
      </c>
      <c r="O50" s="443"/>
      <c r="P50" s="825">
        <v>30701</v>
      </c>
      <c r="Q50" s="952"/>
      <c r="R50" s="953"/>
      <c r="T50" s="599"/>
      <c r="U50" s="634">
        <f>AVERAGE(P50,N50,L50,J50,H50)</f>
        <v>30740.3</v>
      </c>
    </row>
    <row r="51" spans="1:21" thickBot="1" x14ac:dyDescent="0.25">
      <c r="B51" s="296" t="s">
        <v>62</v>
      </c>
      <c r="C51" s="34"/>
      <c r="D51" s="166">
        <v>0</v>
      </c>
      <c r="E51" s="157"/>
      <c r="F51" s="306">
        <v>0</v>
      </c>
      <c r="G51" s="264"/>
      <c r="H51" s="446">
        <v>0</v>
      </c>
      <c r="I51" s="447"/>
      <c r="J51" s="446">
        <v>0</v>
      </c>
      <c r="K51" s="447"/>
      <c r="L51" s="446">
        <v>0</v>
      </c>
      <c r="M51" s="447"/>
      <c r="N51" s="449">
        <v>0</v>
      </c>
      <c r="O51" s="445"/>
      <c r="P51" s="449">
        <v>0</v>
      </c>
      <c r="Q51" s="954"/>
      <c r="R51" s="955"/>
      <c r="T51" s="600"/>
      <c r="U51" s="635">
        <f>AVERAGE(P51,N51,L51,J51,H51)</f>
        <v>0</v>
      </c>
    </row>
    <row r="52" spans="1:21" thickTop="1" x14ac:dyDescent="0.2">
      <c r="B52" s="82"/>
      <c r="C52" s="83"/>
      <c r="D52" s="84"/>
      <c r="E52" s="83"/>
      <c r="F52" s="85"/>
      <c r="G52" s="220"/>
      <c r="H52" s="216"/>
      <c r="I52" s="220"/>
      <c r="J52" s="216"/>
      <c r="K52" s="220"/>
      <c r="L52" s="216"/>
      <c r="M52" s="220"/>
      <c r="N52" s="216"/>
      <c r="O52" s="220"/>
      <c r="P52" s="216"/>
      <c r="Q52" s="220"/>
      <c r="R52" s="216"/>
    </row>
    <row r="53" spans="1:21" x14ac:dyDescent="0.2">
      <c r="A53" s="3" t="s">
        <v>55</v>
      </c>
      <c r="B53" s="82"/>
      <c r="C53" s="83"/>
      <c r="D53" s="84"/>
      <c r="E53" s="83"/>
      <c r="F53" s="85"/>
      <c r="G53" s="220"/>
      <c r="H53" s="216"/>
      <c r="I53" s="220"/>
      <c r="J53" s="216"/>
      <c r="K53" s="220"/>
      <c r="L53" s="216"/>
      <c r="M53" s="220"/>
      <c r="N53" s="216"/>
      <c r="O53" s="220"/>
      <c r="P53" s="216"/>
      <c r="Q53" s="220"/>
      <c r="R53" s="216"/>
    </row>
    <row r="54" spans="1:21" thickBot="1" x14ac:dyDescent="0.25">
      <c r="B54" s="82"/>
      <c r="C54" s="83"/>
      <c r="D54" s="84"/>
      <c r="E54" s="83"/>
      <c r="F54" s="85"/>
      <c r="G54" s="220"/>
      <c r="H54" s="216"/>
      <c r="I54" s="220"/>
      <c r="J54" s="216"/>
      <c r="K54" s="220"/>
      <c r="L54" s="216"/>
      <c r="M54" s="220"/>
      <c r="N54" s="216"/>
      <c r="O54" s="220"/>
      <c r="P54" s="216"/>
      <c r="Q54" s="220"/>
      <c r="R54" s="216"/>
    </row>
    <row r="55" spans="1:21" ht="14.25" customHeight="1" thickTop="1" thickBot="1" x14ac:dyDescent="0.25">
      <c r="B55" s="270"/>
      <c r="C55" s="1225" t="s">
        <v>28</v>
      </c>
      <c r="D55" s="1227"/>
      <c r="E55" s="1373" t="s">
        <v>29</v>
      </c>
      <c r="F55" s="1227"/>
      <c r="G55" s="1231" t="s">
        <v>89</v>
      </c>
      <c r="H55" s="1221"/>
      <c r="I55" s="1231" t="s">
        <v>99</v>
      </c>
      <c r="J55" s="1220"/>
      <c r="K55" s="1231" t="s">
        <v>101</v>
      </c>
      <c r="L55" s="1220"/>
      <c r="M55" s="1231" t="s">
        <v>106</v>
      </c>
      <c r="N55" s="1221"/>
      <c r="O55" s="1220" t="s">
        <v>155</v>
      </c>
      <c r="P55" s="1221"/>
      <c r="Q55" s="1220" t="s">
        <v>160</v>
      </c>
      <c r="R55" s="1221"/>
      <c r="T55" s="1250" t="s">
        <v>142</v>
      </c>
      <c r="U55" s="1251"/>
    </row>
    <row r="56" spans="1:21" ht="12" x14ac:dyDescent="0.2">
      <c r="B56" s="45" t="s">
        <v>33</v>
      </c>
      <c r="C56" s="57"/>
      <c r="D56" s="21"/>
      <c r="E56" s="15"/>
      <c r="F56" s="21"/>
      <c r="G56" s="229"/>
      <c r="H56" s="339"/>
      <c r="I56" s="207"/>
      <c r="J56" s="207"/>
      <c r="K56" s="229"/>
      <c r="L56" s="207"/>
      <c r="M56" s="229"/>
      <c r="N56" s="339"/>
      <c r="O56" s="207"/>
      <c r="P56" s="339"/>
      <c r="Q56" s="932"/>
      <c r="R56" s="933"/>
      <c r="T56" s="484"/>
      <c r="U56" s="607"/>
    </row>
    <row r="57" spans="1:21" ht="12" x14ac:dyDescent="0.2">
      <c r="B57" s="46" t="s">
        <v>34</v>
      </c>
      <c r="C57" s="58"/>
      <c r="D57" s="840"/>
      <c r="E57" s="5"/>
      <c r="F57" s="116"/>
      <c r="G57" s="228"/>
      <c r="H57" s="340"/>
      <c r="I57" s="208"/>
      <c r="J57" s="313"/>
      <c r="K57" s="228"/>
      <c r="L57" s="313"/>
      <c r="M57" s="228"/>
      <c r="N57" s="340"/>
      <c r="O57" s="208"/>
      <c r="P57" s="340"/>
      <c r="Q57" s="88"/>
      <c r="R57" s="784"/>
      <c r="T57" s="599"/>
      <c r="U57" s="609"/>
    </row>
    <row r="58" spans="1:21" ht="12" x14ac:dyDescent="0.2">
      <c r="B58" s="47" t="s">
        <v>35</v>
      </c>
      <c r="C58" s="58"/>
      <c r="D58" s="840">
        <f>5+2</f>
        <v>7</v>
      </c>
      <c r="E58" s="5"/>
      <c r="F58" s="116">
        <v>14</v>
      </c>
      <c r="G58" s="228"/>
      <c r="H58" s="340">
        <v>16</v>
      </c>
      <c r="I58" s="208"/>
      <c r="J58" s="313">
        <v>13</v>
      </c>
      <c r="K58" s="228"/>
      <c r="L58" s="313">
        <v>14</v>
      </c>
      <c r="M58" s="228"/>
      <c r="N58" s="340">
        <v>12</v>
      </c>
      <c r="O58" s="208"/>
      <c r="P58" s="340">
        <v>10</v>
      </c>
      <c r="Q58" s="88"/>
      <c r="R58" s="784"/>
      <c r="T58" s="599"/>
      <c r="U58" s="608">
        <f>AVERAGE(P58,N58,L58,J58,H58)</f>
        <v>13</v>
      </c>
    </row>
    <row r="59" spans="1:21" ht="12" x14ac:dyDescent="0.2">
      <c r="B59" s="47" t="s">
        <v>139</v>
      </c>
      <c r="C59" s="58"/>
      <c r="D59" s="840">
        <v>6</v>
      </c>
      <c r="E59" s="5"/>
      <c r="F59" s="116">
        <v>8</v>
      </c>
      <c r="G59" s="228"/>
      <c r="H59" s="340">
        <v>5</v>
      </c>
      <c r="I59" s="208"/>
      <c r="J59" s="313">
        <v>7</v>
      </c>
      <c r="K59" s="228"/>
      <c r="L59" s="313">
        <v>7</v>
      </c>
      <c r="M59" s="228"/>
      <c r="N59" s="340">
        <v>4</v>
      </c>
      <c r="O59" s="208"/>
      <c r="P59" s="340">
        <v>6</v>
      </c>
      <c r="Q59" s="88"/>
      <c r="R59" s="784"/>
      <c r="T59" s="599"/>
      <c r="U59" s="608">
        <f>AVERAGE(P59,N59,L59,J59,H59)</f>
        <v>5.8</v>
      </c>
    </row>
    <row r="60" spans="1:21" ht="12" x14ac:dyDescent="0.2">
      <c r="B60" s="46" t="s">
        <v>36</v>
      </c>
      <c r="C60" s="58"/>
      <c r="D60" s="53"/>
      <c r="E60" s="5"/>
      <c r="F60" s="53"/>
      <c r="G60" s="228"/>
      <c r="H60" s="341"/>
      <c r="I60" s="208"/>
      <c r="J60" s="384"/>
      <c r="K60" s="228"/>
      <c r="L60" s="384"/>
      <c r="M60" s="228"/>
      <c r="N60" s="341"/>
      <c r="O60" s="208"/>
      <c r="P60" s="341"/>
      <c r="Q60" s="88"/>
      <c r="R60" s="905"/>
      <c r="T60" s="599"/>
      <c r="U60" s="608"/>
    </row>
    <row r="61" spans="1:21" ht="12" x14ac:dyDescent="0.2">
      <c r="B61" s="47" t="s">
        <v>35</v>
      </c>
      <c r="C61" s="58"/>
      <c r="D61" s="53">
        <v>1</v>
      </c>
      <c r="E61" s="5"/>
      <c r="F61" s="53">
        <v>1</v>
      </c>
      <c r="G61" s="228"/>
      <c r="H61" s="341">
        <v>1</v>
      </c>
      <c r="I61" s="208"/>
      <c r="J61" s="384">
        <v>1</v>
      </c>
      <c r="K61" s="228"/>
      <c r="L61" s="384">
        <v>1</v>
      </c>
      <c r="M61" s="228"/>
      <c r="N61" s="341">
        <v>0</v>
      </c>
      <c r="O61" s="208"/>
      <c r="P61" s="341">
        <v>1</v>
      </c>
      <c r="Q61" s="88"/>
      <c r="R61" s="905"/>
      <c r="T61" s="599"/>
      <c r="U61" s="608">
        <f>AVERAGE(P61,N61,L61,J61,H61)</f>
        <v>0.8</v>
      </c>
    </row>
    <row r="62" spans="1:21" ht="12" x14ac:dyDescent="0.2">
      <c r="B62" s="283" t="s">
        <v>139</v>
      </c>
      <c r="C62" s="58"/>
      <c r="D62" s="53">
        <v>3</v>
      </c>
      <c r="E62" s="5"/>
      <c r="F62" s="53">
        <v>1</v>
      </c>
      <c r="G62" s="228"/>
      <c r="H62" s="341">
        <v>2</v>
      </c>
      <c r="I62" s="208"/>
      <c r="J62" s="384">
        <v>2</v>
      </c>
      <c r="K62" s="228"/>
      <c r="L62" s="384">
        <v>1</v>
      </c>
      <c r="M62" s="228"/>
      <c r="N62" s="341">
        <v>0</v>
      </c>
      <c r="O62" s="208"/>
      <c r="P62" s="341">
        <v>0</v>
      </c>
      <c r="Q62" s="88"/>
      <c r="R62" s="905"/>
      <c r="T62" s="599"/>
      <c r="U62" s="608">
        <f>AVERAGE(P62,N62,L62,J62,H62)</f>
        <v>1</v>
      </c>
    </row>
    <row r="63" spans="1:21" thickBot="1" x14ac:dyDescent="0.25">
      <c r="B63" s="51" t="s">
        <v>13</v>
      </c>
      <c r="C63" s="170"/>
      <c r="D63" s="183">
        <f>SUM(D58:D62)</f>
        <v>17</v>
      </c>
      <c r="E63" s="89"/>
      <c r="F63" s="307">
        <f>SUM(F58:F62)</f>
        <v>24</v>
      </c>
      <c r="G63" s="301"/>
      <c r="H63" s="342">
        <v>24</v>
      </c>
      <c r="I63" s="223"/>
      <c r="J63" s="307">
        <f>SUM(J58:J62)</f>
        <v>23</v>
      </c>
      <c r="K63" s="301"/>
      <c r="L63" s="307">
        <f>SUM(L58:L62)</f>
        <v>23</v>
      </c>
      <c r="M63" s="301"/>
      <c r="N63" s="342">
        <f>SUM(N58:N62)</f>
        <v>16</v>
      </c>
      <c r="O63" s="223"/>
      <c r="P63" s="342">
        <f>SUM(P58:P62)</f>
        <v>17</v>
      </c>
      <c r="Q63" s="956"/>
      <c r="R63" s="906">
        <f>SUM(R58:R62)</f>
        <v>0</v>
      </c>
      <c r="T63" s="600"/>
      <c r="U63" s="777">
        <f>AVERAGE(P63,N63,L63,J63,H63)</f>
        <v>20.6</v>
      </c>
    </row>
    <row r="64" spans="1:21" thickTop="1" x14ac:dyDescent="0.2">
      <c r="B64" s="524" t="s">
        <v>84</v>
      </c>
      <c r="C64" s="56"/>
      <c r="D64" s="171"/>
      <c r="E64" s="113"/>
      <c r="F64" s="167"/>
      <c r="G64" s="302"/>
      <c r="H64" s="353"/>
      <c r="I64" s="224"/>
      <c r="J64" s="372"/>
      <c r="K64" s="302"/>
      <c r="L64" s="372"/>
      <c r="M64" s="302"/>
      <c r="N64" s="353"/>
      <c r="O64" s="224"/>
      <c r="P64" s="353"/>
      <c r="Q64" s="957"/>
      <c r="R64" s="958"/>
      <c r="T64" s="484"/>
      <c r="U64" s="778"/>
    </row>
    <row r="65" spans="2:21" ht="12" x14ac:dyDescent="0.2">
      <c r="B65" s="47" t="s">
        <v>66</v>
      </c>
      <c r="C65" s="172">
        <v>15</v>
      </c>
      <c r="D65" s="173">
        <f>C65/D$63</f>
        <v>0.88235294117647056</v>
      </c>
      <c r="E65" s="114">
        <v>22</v>
      </c>
      <c r="F65" s="179">
        <f t="shared" ref="F65:H71" si="0">E65/F$63</f>
        <v>0.91666666666666663</v>
      </c>
      <c r="G65" s="172">
        <v>22</v>
      </c>
      <c r="H65" s="190">
        <f t="shared" si="0"/>
        <v>0.91666666666666663</v>
      </c>
      <c r="I65" s="114">
        <v>21</v>
      </c>
      <c r="J65" s="179">
        <f t="shared" ref="J65:L71" si="1">I65/J$63</f>
        <v>0.91304347826086951</v>
      </c>
      <c r="K65" s="172">
        <v>19</v>
      </c>
      <c r="L65" s="179">
        <f t="shared" si="1"/>
        <v>0.82608695652173914</v>
      </c>
      <c r="M65" s="172">
        <v>15</v>
      </c>
      <c r="N65" s="190">
        <f t="shared" ref="N65:P71" si="2">M65/N$63</f>
        <v>0.9375</v>
      </c>
      <c r="O65" s="114">
        <v>16</v>
      </c>
      <c r="P65" s="190">
        <f t="shared" si="2"/>
        <v>0.94117647058823528</v>
      </c>
      <c r="Q65" s="907"/>
      <c r="R65" s="908" t="e">
        <f t="shared" ref="R65:R71" si="3">Q65/R$63</f>
        <v>#DIV/0!</v>
      </c>
      <c r="T65" s="599"/>
      <c r="U65" s="613">
        <f>AVERAGE(P65,N65,L65,J65,H65)</f>
        <v>0.90689471440750213</v>
      </c>
    </row>
    <row r="66" spans="2:21" ht="12" x14ac:dyDescent="0.2">
      <c r="B66" s="70" t="s">
        <v>67</v>
      </c>
      <c r="C66" s="172">
        <v>1</v>
      </c>
      <c r="D66" s="173">
        <f t="shared" ref="D66:D83" si="4">C66/$D$63</f>
        <v>5.8823529411764705E-2</v>
      </c>
      <c r="E66" s="114">
        <v>1</v>
      </c>
      <c r="F66" s="179">
        <f t="shared" si="0"/>
        <v>4.1666666666666664E-2</v>
      </c>
      <c r="G66" s="172">
        <v>1</v>
      </c>
      <c r="H66" s="190">
        <f t="shared" si="0"/>
        <v>4.1666666666666664E-2</v>
      </c>
      <c r="I66" s="114">
        <v>1</v>
      </c>
      <c r="J66" s="179">
        <f t="shared" si="1"/>
        <v>4.3478260869565216E-2</v>
      </c>
      <c r="K66" s="172">
        <v>1</v>
      </c>
      <c r="L66" s="179">
        <f t="shared" si="1"/>
        <v>4.3478260869565216E-2</v>
      </c>
      <c r="M66" s="172">
        <v>1</v>
      </c>
      <c r="N66" s="190">
        <f t="shared" si="2"/>
        <v>6.25E-2</v>
      </c>
      <c r="O66" s="114">
        <v>1</v>
      </c>
      <c r="P66" s="190">
        <f t="shared" si="2"/>
        <v>5.8823529411764705E-2</v>
      </c>
      <c r="Q66" s="907"/>
      <c r="R66" s="908" t="e">
        <f t="shared" si="3"/>
        <v>#DIV/0!</v>
      </c>
      <c r="T66" s="599"/>
      <c r="U66" s="613">
        <f t="shared" ref="U66:U83" si="5">AVERAGE(P66,N66,L66,J66,H66)</f>
        <v>4.9989343563512353E-2</v>
      </c>
    </row>
    <row r="67" spans="2:21" ht="12" x14ac:dyDescent="0.2">
      <c r="B67" s="70" t="s">
        <v>68</v>
      </c>
      <c r="C67" s="172">
        <v>1</v>
      </c>
      <c r="D67" s="173">
        <f t="shared" si="4"/>
        <v>5.8823529411764705E-2</v>
      </c>
      <c r="E67" s="114">
        <v>1</v>
      </c>
      <c r="F67" s="179">
        <f t="shared" si="0"/>
        <v>4.1666666666666664E-2</v>
      </c>
      <c r="G67" s="172">
        <v>1</v>
      </c>
      <c r="H67" s="190">
        <f t="shared" si="0"/>
        <v>4.1666666666666664E-2</v>
      </c>
      <c r="I67" s="114">
        <v>1</v>
      </c>
      <c r="J67" s="179">
        <f t="shared" si="1"/>
        <v>4.3478260869565216E-2</v>
      </c>
      <c r="K67" s="172">
        <v>3</v>
      </c>
      <c r="L67" s="179">
        <f t="shared" si="1"/>
        <v>0.13043478260869565</v>
      </c>
      <c r="M67" s="172">
        <v>0</v>
      </c>
      <c r="N67" s="190">
        <f t="shared" si="2"/>
        <v>0</v>
      </c>
      <c r="O67" s="114">
        <v>0</v>
      </c>
      <c r="P67" s="190">
        <f t="shared" si="2"/>
        <v>0</v>
      </c>
      <c r="Q67" s="907"/>
      <c r="R67" s="908" t="e">
        <f t="shared" si="3"/>
        <v>#DIV/0!</v>
      </c>
      <c r="T67" s="599"/>
      <c r="U67" s="613">
        <f t="shared" si="5"/>
        <v>4.3115942028985506E-2</v>
      </c>
    </row>
    <row r="68" spans="2:21" ht="12" x14ac:dyDescent="0.2">
      <c r="B68" s="70" t="s">
        <v>69</v>
      </c>
      <c r="C68" s="172">
        <v>0</v>
      </c>
      <c r="D68" s="173">
        <f t="shared" si="4"/>
        <v>0</v>
      </c>
      <c r="E68" s="114">
        <v>0</v>
      </c>
      <c r="F68" s="179">
        <f t="shared" si="0"/>
        <v>0</v>
      </c>
      <c r="G68" s="172">
        <v>0</v>
      </c>
      <c r="H68" s="190">
        <f t="shared" si="0"/>
        <v>0</v>
      </c>
      <c r="I68" s="114">
        <v>0</v>
      </c>
      <c r="J68" s="179">
        <f t="shared" si="1"/>
        <v>0</v>
      </c>
      <c r="K68" s="172">
        <v>0</v>
      </c>
      <c r="L68" s="179">
        <f t="shared" si="1"/>
        <v>0</v>
      </c>
      <c r="M68" s="172">
        <v>0</v>
      </c>
      <c r="N68" s="190">
        <f t="shared" si="2"/>
        <v>0</v>
      </c>
      <c r="O68" s="114">
        <v>0</v>
      </c>
      <c r="P68" s="190">
        <f t="shared" si="2"/>
        <v>0</v>
      </c>
      <c r="Q68" s="907"/>
      <c r="R68" s="908" t="e">
        <f t="shared" si="3"/>
        <v>#DIV/0!</v>
      </c>
      <c r="T68" s="599"/>
      <c r="U68" s="613">
        <f t="shared" si="5"/>
        <v>0</v>
      </c>
    </row>
    <row r="69" spans="2:21" ht="12" x14ac:dyDescent="0.2">
      <c r="B69" s="70" t="s">
        <v>70</v>
      </c>
      <c r="C69" s="172">
        <v>0</v>
      </c>
      <c r="D69" s="173">
        <f t="shared" si="4"/>
        <v>0</v>
      </c>
      <c r="E69" s="114">
        <v>0</v>
      </c>
      <c r="F69" s="179">
        <f t="shared" si="0"/>
        <v>0</v>
      </c>
      <c r="G69" s="172">
        <v>0</v>
      </c>
      <c r="H69" s="190">
        <f t="shared" si="0"/>
        <v>0</v>
      </c>
      <c r="I69" s="114">
        <v>0</v>
      </c>
      <c r="J69" s="179">
        <f t="shared" si="1"/>
        <v>0</v>
      </c>
      <c r="K69" s="172">
        <v>0</v>
      </c>
      <c r="L69" s="179">
        <f t="shared" si="1"/>
        <v>0</v>
      </c>
      <c r="M69" s="172">
        <v>0</v>
      </c>
      <c r="N69" s="190">
        <f t="shared" si="2"/>
        <v>0</v>
      </c>
      <c r="O69" s="114">
        <v>0</v>
      </c>
      <c r="P69" s="190">
        <f t="shared" si="2"/>
        <v>0</v>
      </c>
      <c r="Q69" s="907"/>
      <c r="R69" s="908" t="e">
        <f t="shared" si="3"/>
        <v>#DIV/0!</v>
      </c>
      <c r="T69" s="599"/>
      <c r="U69" s="613">
        <f t="shared" si="5"/>
        <v>0</v>
      </c>
    </row>
    <row r="70" spans="2:21" ht="12" x14ac:dyDescent="0.2">
      <c r="B70" s="70" t="s">
        <v>71</v>
      </c>
      <c r="C70" s="172">
        <v>0</v>
      </c>
      <c r="D70" s="173">
        <f t="shared" si="4"/>
        <v>0</v>
      </c>
      <c r="E70" s="114">
        <v>0</v>
      </c>
      <c r="F70" s="179">
        <f t="shared" si="0"/>
        <v>0</v>
      </c>
      <c r="G70" s="172">
        <v>0</v>
      </c>
      <c r="H70" s="190">
        <f t="shared" si="0"/>
        <v>0</v>
      </c>
      <c r="I70" s="114">
        <v>0</v>
      </c>
      <c r="J70" s="179">
        <f t="shared" si="1"/>
        <v>0</v>
      </c>
      <c r="K70" s="172">
        <v>0</v>
      </c>
      <c r="L70" s="179">
        <f t="shared" si="1"/>
        <v>0</v>
      </c>
      <c r="M70" s="172">
        <v>0</v>
      </c>
      <c r="N70" s="190">
        <f t="shared" si="2"/>
        <v>0</v>
      </c>
      <c r="O70" s="114">
        <v>0</v>
      </c>
      <c r="P70" s="190">
        <f t="shared" si="2"/>
        <v>0</v>
      </c>
      <c r="Q70" s="907"/>
      <c r="R70" s="908" t="e">
        <f t="shared" si="3"/>
        <v>#DIV/0!</v>
      </c>
      <c r="T70" s="599"/>
      <c r="U70" s="613">
        <f t="shared" si="5"/>
        <v>0</v>
      </c>
    </row>
    <row r="71" spans="2:21" ht="12" x14ac:dyDescent="0.2">
      <c r="B71" s="70" t="s">
        <v>72</v>
      </c>
      <c r="C71" s="174">
        <v>0</v>
      </c>
      <c r="D71" s="173">
        <f t="shared" si="4"/>
        <v>0</v>
      </c>
      <c r="E71" s="115">
        <v>0</v>
      </c>
      <c r="F71" s="179">
        <f t="shared" si="0"/>
        <v>0</v>
      </c>
      <c r="G71" s="174">
        <v>0</v>
      </c>
      <c r="H71" s="190">
        <f t="shared" si="0"/>
        <v>0</v>
      </c>
      <c r="I71" s="115">
        <v>0</v>
      </c>
      <c r="J71" s="179">
        <f t="shared" si="1"/>
        <v>0</v>
      </c>
      <c r="K71" s="174">
        <v>0</v>
      </c>
      <c r="L71" s="179">
        <f t="shared" si="1"/>
        <v>0</v>
      </c>
      <c r="M71" s="174">
        <v>0</v>
      </c>
      <c r="N71" s="190">
        <f t="shared" si="2"/>
        <v>0</v>
      </c>
      <c r="O71" s="115">
        <v>0</v>
      </c>
      <c r="P71" s="190">
        <f t="shared" si="2"/>
        <v>0</v>
      </c>
      <c r="Q71" s="909"/>
      <c r="R71" s="908" t="e">
        <f t="shared" si="3"/>
        <v>#DIV/0!</v>
      </c>
      <c r="T71" s="599"/>
      <c r="U71" s="613">
        <f t="shared" si="5"/>
        <v>0</v>
      </c>
    </row>
    <row r="72" spans="2:21" ht="12" x14ac:dyDescent="0.2">
      <c r="B72" s="287" t="s">
        <v>85</v>
      </c>
      <c r="C72" s="175"/>
      <c r="D72" s="173"/>
      <c r="E72" s="185"/>
      <c r="F72" s="299"/>
      <c r="G72" s="303"/>
      <c r="H72" s="245"/>
      <c r="I72" s="185"/>
      <c r="J72" s="299"/>
      <c r="K72" s="303"/>
      <c r="L72" s="299"/>
      <c r="M72" s="303"/>
      <c r="N72" s="245"/>
      <c r="O72" s="185"/>
      <c r="P72" s="245"/>
      <c r="Q72" s="910"/>
      <c r="R72" s="911"/>
      <c r="T72" s="599"/>
      <c r="U72" s="613"/>
    </row>
    <row r="73" spans="2:21" ht="12" x14ac:dyDescent="0.2">
      <c r="B73" s="47" t="s">
        <v>73</v>
      </c>
      <c r="C73" s="188">
        <v>2</v>
      </c>
      <c r="D73" s="173">
        <f t="shared" si="4"/>
        <v>0.11764705882352941</v>
      </c>
      <c r="E73" s="116">
        <v>2</v>
      </c>
      <c r="F73" s="265">
        <f>E73/F$63</f>
        <v>8.3333333333333329E-2</v>
      </c>
      <c r="G73" s="188">
        <v>3</v>
      </c>
      <c r="H73" s="246">
        <f>G73/H$63</f>
        <v>0.125</v>
      </c>
      <c r="I73" s="313">
        <v>2</v>
      </c>
      <c r="J73" s="179">
        <f>I73/J$63</f>
        <v>8.6956521739130432E-2</v>
      </c>
      <c r="K73" s="188">
        <v>4</v>
      </c>
      <c r="L73" s="179">
        <f>K73/L$63</f>
        <v>0.17391304347826086</v>
      </c>
      <c r="M73" s="188">
        <v>3</v>
      </c>
      <c r="N73" s="190">
        <f>M73/N$63</f>
        <v>0.1875</v>
      </c>
      <c r="O73" s="313">
        <v>3</v>
      </c>
      <c r="P73" s="190">
        <f>O73/P$63</f>
        <v>0.17647058823529413</v>
      </c>
      <c r="Q73" s="297"/>
      <c r="R73" s="908" t="e">
        <f>Q73/R$63</f>
        <v>#DIV/0!</v>
      </c>
      <c r="T73" s="599"/>
      <c r="U73" s="613">
        <f t="shared" si="5"/>
        <v>0.1499680306905371</v>
      </c>
    </row>
    <row r="74" spans="2:21" ht="12" x14ac:dyDescent="0.2">
      <c r="B74" s="47" t="s">
        <v>74</v>
      </c>
      <c r="C74" s="188">
        <v>15</v>
      </c>
      <c r="D74" s="173">
        <f t="shared" si="4"/>
        <v>0.88235294117647056</v>
      </c>
      <c r="E74" s="182">
        <v>22</v>
      </c>
      <c r="F74" s="265">
        <f>E74/F$63</f>
        <v>0.91666666666666663</v>
      </c>
      <c r="G74" s="191">
        <v>21</v>
      </c>
      <c r="H74" s="246">
        <f>G74/H$63</f>
        <v>0.875</v>
      </c>
      <c r="I74" s="181">
        <v>21</v>
      </c>
      <c r="J74" s="179">
        <f>I74/J$63</f>
        <v>0.91304347826086951</v>
      </c>
      <c r="K74" s="191">
        <v>19</v>
      </c>
      <c r="L74" s="179">
        <f>K74/L$63</f>
        <v>0.82608695652173914</v>
      </c>
      <c r="M74" s="191">
        <v>13</v>
      </c>
      <c r="N74" s="190">
        <f>M74/N$63</f>
        <v>0.8125</v>
      </c>
      <c r="O74" s="181">
        <v>14</v>
      </c>
      <c r="P74" s="190">
        <f>O74/P$63</f>
        <v>0.82352941176470584</v>
      </c>
      <c r="Q74" s="912"/>
      <c r="R74" s="908" t="e">
        <f>Q74/R$63</f>
        <v>#DIV/0!</v>
      </c>
      <c r="T74" s="599"/>
      <c r="U74" s="613">
        <f t="shared" si="5"/>
        <v>0.85003196930946279</v>
      </c>
    </row>
    <row r="75" spans="2:21" ht="12" x14ac:dyDescent="0.2">
      <c r="B75" s="287" t="s">
        <v>86</v>
      </c>
      <c r="C75" s="176"/>
      <c r="D75" s="173"/>
      <c r="E75" s="186"/>
      <c r="F75" s="265"/>
      <c r="G75" s="304"/>
      <c r="H75" s="246"/>
      <c r="I75" s="225"/>
      <c r="J75" s="179"/>
      <c r="K75" s="304"/>
      <c r="L75" s="179"/>
      <c r="M75" s="304"/>
      <c r="N75" s="190"/>
      <c r="O75" s="225"/>
      <c r="P75" s="190"/>
      <c r="Q75" s="913"/>
      <c r="R75" s="908"/>
      <c r="T75" s="599"/>
      <c r="U75" s="613"/>
    </row>
    <row r="76" spans="2:21" ht="12" x14ac:dyDescent="0.2">
      <c r="B76" s="47" t="s">
        <v>75</v>
      </c>
      <c r="C76" s="184">
        <v>6</v>
      </c>
      <c r="D76" s="173">
        <f t="shared" si="4"/>
        <v>0.35294117647058826</v>
      </c>
      <c r="E76" s="182">
        <v>6</v>
      </c>
      <c r="F76" s="265">
        <f>E76/F$63</f>
        <v>0.25</v>
      </c>
      <c r="G76" s="191">
        <v>6</v>
      </c>
      <c r="H76" s="246">
        <f>G76/H$63</f>
        <v>0.25</v>
      </c>
      <c r="I76" s="181">
        <v>4</v>
      </c>
      <c r="J76" s="179">
        <f>I76/J$63</f>
        <v>0.17391304347826086</v>
      </c>
      <c r="K76" s="191">
        <v>5</v>
      </c>
      <c r="L76" s="179">
        <f>K76/L$63</f>
        <v>0.21739130434782608</v>
      </c>
      <c r="M76" s="191">
        <v>4</v>
      </c>
      <c r="N76" s="190">
        <f>M76/N$63</f>
        <v>0.25</v>
      </c>
      <c r="O76" s="181">
        <v>5</v>
      </c>
      <c r="P76" s="190">
        <f>O76/P$63</f>
        <v>0.29411764705882354</v>
      </c>
      <c r="Q76" s="912"/>
      <c r="R76" s="908" t="e">
        <f>Q76/R$63</f>
        <v>#DIV/0!</v>
      </c>
      <c r="T76" s="599"/>
      <c r="U76" s="613">
        <f t="shared" si="5"/>
        <v>0.23708439897698211</v>
      </c>
    </row>
    <row r="77" spans="2:21" ht="12" x14ac:dyDescent="0.2">
      <c r="B77" s="47" t="s">
        <v>76</v>
      </c>
      <c r="C77" s="184">
        <v>2</v>
      </c>
      <c r="D77" s="173">
        <f t="shared" si="4"/>
        <v>0.11764705882352941</v>
      </c>
      <c r="E77" s="182">
        <v>2</v>
      </c>
      <c r="F77" s="265">
        <f>E77/F$63</f>
        <v>8.3333333333333329E-2</v>
      </c>
      <c r="G77" s="191">
        <v>5</v>
      </c>
      <c r="H77" s="246">
        <f>G77/H$63</f>
        <v>0.20833333333333334</v>
      </c>
      <c r="I77" s="181">
        <v>4</v>
      </c>
      <c r="J77" s="179">
        <f>I77/J$63</f>
        <v>0.17391304347826086</v>
      </c>
      <c r="K77" s="191">
        <v>4</v>
      </c>
      <c r="L77" s="179">
        <f>K77/L$63</f>
        <v>0.17391304347826086</v>
      </c>
      <c r="M77" s="191">
        <v>3</v>
      </c>
      <c r="N77" s="190">
        <f>M77/N$63</f>
        <v>0.1875</v>
      </c>
      <c r="O77" s="181">
        <v>2</v>
      </c>
      <c r="P77" s="190">
        <f>O77/P$63</f>
        <v>0.11764705882352941</v>
      </c>
      <c r="Q77" s="912"/>
      <c r="R77" s="908" t="e">
        <f>Q77/R$63</f>
        <v>#DIV/0!</v>
      </c>
      <c r="T77" s="599"/>
      <c r="U77" s="613">
        <f t="shared" si="5"/>
        <v>0.17226129582267691</v>
      </c>
    </row>
    <row r="78" spans="2:21" ht="12" x14ac:dyDescent="0.2">
      <c r="B78" s="47" t="s">
        <v>77</v>
      </c>
      <c r="C78" s="184">
        <v>9</v>
      </c>
      <c r="D78" s="173">
        <f t="shared" si="4"/>
        <v>0.52941176470588236</v>
      </c>
      <c r="E78" s="182">
        <v>16</v>
      </c>
      <c r="F78" s="265">
        <f>E78/F$63</f>
        <v>0.66666666666666663</v>
      </c>
      <c r="G78" s="191">
        <v>13</v>
      </c>
      <c r="H78" s="246">
        <f>G78/H$63</f>
        <v>0.54166666666666663</v>
      </c>
      <c r="I78" s="181">
        <v>15</v>
      </c>
      <c r="J78" s="179">
        <f>I78/J$63</f>
        <v>0.65217391304347827</v>
      </c>
      <c r="K78" s="191">
        <v>14</v>
      </c>
      <c r="L78" s="179">
        <f>K78/L$63</f>
        <v>0.60869565217391308</v>
      </c>
      <c r="M78" s="191">
        <v>9</v>
      </c>
      <c r="N78" s="190">
        <f>M78/N$63</f>
        <v>0.5625</v>
      </c>
      <c r="O78" s="181">
        <v>10</v>
      </c>
      <c r="P78" s="190">
        <f>O78/P$63</f>
        <v>0.58823529411764708</v>
      </c>
      <c r="Q78" s="912"/>
      <c r="R78" s="908" t="e">
        <f>Q78/R$63</f>
        <v>#DIV/0!</v>
      </c>
      <c r="T78" s="599"/>
      <c r="U78" s="613">
        <f t="shared" si="5"/>
        <v>0.59065430520034101</v>
      </c>
    </row>
    <row r="79" spans="2:21" ht="12" x14ac:dyDescent="0.2">
      <c r="B79" s="287" t="s">
        <v>87</v>
      </c>
      <c r="C79" s="176"/>
      <c r="D79" s="173"/>
      <c r="E79" s="186"/>
      <c r="F79" s="265"/>
      <c r="G79" s="304"/>
      <c r="H79" s="246"/>
      <c r="I79" s="225"/>
      <c r="J79" s="179"/>
      <c r="K79" s="304"/>
      <c r="L79" s="179"/>
      <c r="M79" s="304"/>
      <c r="N79" s="190"/>
      <c r="O79" s="225"/>
      <c r="P79" s="190"/>
      <c r="Q79" s="913"/>
      <c r="R79" s="908"/>
      <c r="T79" s="599"/>
      <c r="U79" s="613"/>
    </row>
    <row r="80" spans="2:21" ht="12" x14ac:dyDescent="0.2">
      <c r="B80" s="47" t="s">
        <v>78</v>
      </c>
      <c r="C80" s="184">
        <v>9</v>
      </c>
      <c r="D80" s="173">
        <f t="shared" si="4"/>
        <v>0.52941176470588236</v>
      </c>
      <c r="E80" s="182">
        <v>10</v>
      </c>
      <c r="F80" s="265">
        <f>E80/F$63</f>
        <v>0.41666666666666669</v>
      </c>
      <c r="G80" s="191">
        <v>12</v>
      </c>
      <c r="H80" s="246">
        <f>G80/H$63</f>
        <v>0.5</v>
      </c>
      <c r="I80" s="181">
        <v>12</v>
      </c>
      <c r="J80" s="179">
        <f>I80/J$63</f>
        <v>0.52173913043478259</v>
      </c>
      <c r="K80" s="191">
        <v>13</v>
      </c>
      <c r="L80" s="179">
        <f>K80/L$63</f>
        <v>0.56521739130434778</v>
      </c>
      <c r="M80" s="191">
        <v>9</v>
      </c>
      <c r="N80" s="190">
        <f>M80/N$63</f>
        <v>0.5625</v>
      </c>
      <c r="O80" s="181">
        <v>8</v>
      </c>
      <c r="P80" s="190">
        <f>O80/P$63</f>
        <v>0.47058823529411764</v>
      </c>
      <c r="Q80" s="912"/>
      <c r="R80" s="908" t="e">
        <f>Q80/R$63</f>
        <v>#DIV/0!</v>
      </c>
      <c r="T80" s="599"/>
      <c r="U80" s="613"/>
    </row>
    <row r="81" spans="1:23" ht="12" x14ac:dyDescent="0.2">
      <c r="B81" s="47" t="s">
        <v>79</v>
      </c>
      <c r="C81" s="184">
        <v>8</v>
      </c>
      <c r="D81" s="173">
        <f t="shared" si="4"/>
        <v>0.47058823529411764</v>
      </c>
      <c r="E81" s="182">
        <v>14</v>
      </c>
      <c r="F81" s="265">
        <f>E81/F$63</f>
        <v>0.58333333333333337</v>
      </c>
      <c r="G81" s="191">
        <v>12</v>
      </c>
      <c r="H81" s="246">
        <f>G81/H$63</f>
        <v>0.5</v>
      </c>
      <c r="I81" s="181">
        <v>11</v>
      </c>
      <c r="J81" s="179">
        <f>I81/J$63</f>
        <v>0.47826086956521741</v>
      </c>
      <c r="K81" s="191">
        <v>9</v>
      </c>
      <c r="L81" s="179">
        <f>K81/L$63</f>
        <v>0.39130434782608697</v>
      </c>
      <c r="M81" s="191">
        <v>7</v>
      </c>
      <c r="N81" s="190">
        <f>M81/N$63</f>
        <v>0.4375</v>
      </c>
      <c r="O81" s="181">
        <v>9</v>
      </c>
      <c r="P81" s="190">
        <f>O81/P$63</f>
        <v>0.52941176470588236</v>
      </c>
      <c r="Q81" s="912"/>
      <c r="R81" s="908" t="e">
        <f>Q81/R$63</f>
        <v>#DIV/0!</v>
      </c>
      <c r="T81" s="599"/>
      <c r="U81" s="613">
        <f t="shared" si="5"/>
        <v>0.4672953964194374</v>
      </c>
    </row>
    <row r="82" spans="1:23" ht="12" x14ac:dyDescent="0.2">
      <c r="B82" s="47" t="s">
        <v>80</v>
      </c>
      <c r="C82" s="184">
        <v>0</v>
      </c>
      <c r="D82" s="173">
        <f t="shared" si="4"/>
        <v>0</v>
      </c>
      <c r="E82" s="182">
        <v>0</v>
      </c>
      <c r="F82" s="265">
        <f>E82/F$63</f>
        <v>0</v>
      </c>
      <c r="G82" s="191">
        <v>0</v>
      </c>
      <c r="H82" s="246">
        <f>G82/H$63</f>
        <v>0</v>
      </c>
      <c r="I82" s="181">
        <v>0</v>
      </c>
      <c r="J82" s="179">
        <f>I82/J$63</f>
        <v>0</v>
      </c>
      <c r="K82" s="191">
        <v>1</v>
      </c>
      <c r="L82" s="179">
        <f>K82/L$63</f>
        <v>4.3478260869565216E-2</v>
      </c>
      <c r="M82" s="191">
        <v>0</v>
      </c>
      <c r="N82" s="190">
        <f>M82/N$63</f>
        <v>0</v>
      </c>
      <c r="O82" s="181">
        <v>0</v>
      </c>
      <c r="P82" s="190">
        <f>O82/P$63</f>
        <v>0</v>
      </c>
      <c r="Q82" s="912"/>
      <c r="R82" s="908" t="e">
        <f>Q82/R$63</f>
        <v>#DIV/0!</v>
      </c>
      <c r="T82" s="599"/>
      <c r="U82" s="613">
        <f t="shared" si="5"/>
        <v>8.6956521739130436E-3</v>
      </c>
    </row>
    <row r="83" spans="1:23" thickBot="1" x14ac:dyDescent="0.25">
      <c r="B83" s="519" t="s">
        <v>81</v>
      </c>
      <c r="C83" s="177">
        <v>0</v>
      </c>
      <c r="D83" s="178">
        <f t="shared" si="4"/>
        <v>0</v>
      </c>
      <c r="E83" s="187">
        <v>0</v>
      </c>
      <c r="F83" s="267">
        <f>E83/F$63</f>
        <v>0</v>
      </c>
      <c r="G83" s="197">
        <v>0</v>
      </c>
      <c r="H83" s="247">
        <f>G83/H$63</f>
        <v>0</v>
      </c>
      <c r="I83" s="198">
        <v>0</v>
      </c>
      <c r="J83" s="180">
        <f>I83/J$63</f>
        <v>0</v>
      </c>
      <c r="K83" s="197">
        <v>0</v>
      </c>
      <c r="L83" s="180">
        <f>K83/L$63</f>
        <v>0</v>
      </c>
      <c r="M83" s="197">
        <v>0</v>
      </c>
      <c r="N83" s="761">
        <f>M83/N$63</f>
        <v>0</v>
      </c>
      <c r="O83" s="198">
        <v>0</v>
      </c>
      <c r="P83" s="761">
        <f>O83/P$63</f>
        <v>0</v>
      </c>
      <c r="Q83" s="914"/>
      <c r="R83" s="915" t="e">
        <f>Q83/R$63</f>
        <v>#DIV/0!</v>
      </c>
      <c r="T83" s="600"/>
      <c r="U83" s="779">
        <f t="shared" si="5"/>
        <v>0</v>
      </c>
    </row>
    <row r="84" spans="1:23" customFormat="1" ht="14.25" thickTop="1" thickBot="1" x14ac:dyDescent="0.25">
      <c r="A84" s="430"/>
      <c r="B84" s="512" t="s">
        <v>112</v>
      </c>
      <c r="C84" s="1230" t="s">
        <v>30</v>
      </c>
      <c r="D84" s="1259"/>
      <c r="E84" s="1230" t="s">
        <v>31</v>
      </c>
      <c r="F84" s="1259"/>
      <c r="G84" s="1249" t="s">
        <v>110</v>
      </c>
      <c r="H84" s="1257"/>
      <c r="I84" s="1249" t="s">
        <v>111</v>
      </c>
      <c r="J84" s="1257"/>
      <c r="K84" s="1249" t="s">
        <v>128</v>
      </c>
      <c r="L84" s="1257"/>
      <c r="M84" s="1254" t="s">
        <v>129</v>
      </c>
      <c r="N84" s="1219"/>
      <c r="O84" s="1218" t="s">
        <v>156</v>
      </c>
      <c r="P84" s="1219"/>
      <c r="Q84" s="1218" t="s">
        <v>161</v>
      </c>
      <c r="R84" s="1219"/>
      <c r="S84" s="22"/>
      <c r="T84" s="1284" t="s">
        <v>142</v>
      </c>
      <c r="U84" s="1285"/>
      <c r="V84" s="432"/>
      <c r="W84" s="432"/>
    </row>
    <row r="85" spans="1:23" customFormat="1" x14ac:dyDescent="0.2">
      <c r="A85" s="430"/>
      <c r="B85" s="513"/>
      <c r="C85" s="514" t="s">
        <v>82</v>
      </c>
      <c r="D85" s="515" t="s">
        <v>17</v>
      </c>
      <c r="E85" s="514" t="s">
        <v>82</v>
      </c>
      <c r="F85" s="515" t="s">
        <v>17</v>
      </c>
      <c r="G85" s="514" t="s">
        <v>82</v>
      </c>
      <c r="H85" s="515" t="s">
        <v>17</v>
      </c>
      <c r="I85" s="514" t="s">
        <v>82</v>
      </c>
      <c r="J85" s="515" t="s">
        <v>17</v>
      </c>
      <c r="K85" s="514" t="s">
        <v>82</v>
      </c>
      <c r="L85" s="515" t="s">
        <v>17</v>
      </c>
      <c r="M85" s="514" t="s">
        <v>82</v>
      </c>
      <c r="N85" s="515" t="s">
        <v>17</v>
      </c>
      <c r="O85" s="785" t="s">
        <v>82</v>
      </c>
      <c r="P85" s="515" t="s">
        <v>17</v>
      </c>
      <c r="Q85" s="959" t="s">
        <v>82</v>
      </c>
      <c r="R85" s="960" t="s">
        <v>17</v>
      </c>
      <c r="S85" s="22"/>
      <c r="T85" s="585" t="s">
        <v>82</v>
      </c>
      <c r="U85" s="516" t="s">
        <v>17</v>
      </c>
      <c r="V85" s="432"/>
      <c r="W85" s="432"/>
    </row>
    <row r="86" spans="1:23" customFormat="1" x14ac:dyDescent="0.2">
      <c r="A86" s="430"/>
      <c r="B86" s="283" t="s">
        <v>113</v>
      </c>
      <c r="C86" s="517">
        <v>0</v>
      </c>
      <c r="D86" s="518">
        <v>0</v>
      </c>
      <c r="E86" s="517">
        <v>0</v>
      </c>
      <c r="F86" s="518">
        <v>0</v>
      </c>
      <c r="G86" s="517">
        <v>1</v>
      </c>
      <c r="H86" s="518">
        <v>0.5</v>
      </c>
      <c r="I86" s="517">
        <v>1</v>
      </c>
      <c r="J86" s="518">
        <v>0.25</v>
      </c>
      <c r="K86" s="517">
        <v>1</v>
      </c>
      <c r="L86" s="518">
        <v>0.5</v>
      </c>
      <c r="M86" s="517">
        <v>1</v>
      </c>
      <c r="N86" s="518">
        <v>0.5</v>
      </c>
      <c r="O86" s="517">
        <v>0</v>
      </c>
      <c r="P86" s="518">
        <v>0</v>
      </c>
      <c r="Q86" s="916"/>
      <c r="R86" s="917"/>
      <c r="S86" s="22"/>
      <c r="T86" s="775">
        <f t="shared" ref="T86:U88" si="6">AVERAGE(O86,M86,K86,I86,G86)</f>
        <v>0.8</v>
      </c>
      <c r="U86" s="704">
        <f t="shared" si="6"/>
        <v>0.35</v>
      </c>
      <c r="V86" s="432"/>
      <c r="W86" s="432"/>
    </row>
    <row r="87" spans="1:23" customFormat="1" x14ac:dyDescent="0.2">
      <c r="A87" s="430"/>
      <c r="B87" s="283" t="s">
        <v>114</v>
      </c>
      <c r="C87" s="517">
        <v>1</v>
      </c>
      <c r="D87" s="518">
        <v>0.5</v>
      </c>
      <c r="E87" s="517">
        <v>0</v>
      </c>
      <c r="F87" s="518">
        <v>0</v>
      </c>
      <c r="G87" s="517">
        <v>3</v>
      </c>
      <c r="H87" s="518">
        <v>1.5</v>
      </c>
      <c r="I87" s="517">
        <v>3</v>
      </c>
      <c r="J87" s="518">
        <v>1.25</v>
      </c>
      <c r="K87" s="517">
        <v>2</v>
      </c>
      <c r="L87" s="518">
        <v>1</v>
      </c>
      <c r="M87" s="517">
        <v>4</v>
      </c>
      <c r="N87" s="518">
        <v>2</v>
      </c>
      <c r="O87" s="517">
        <v>3</v>
      </c>
      <c r="P87" s="518">
        <v>1.5</v>
      </c>
      <c r="Q87" s="916"/>
      <c r="R87" s="917"/>
      <c r="S87" s="22"/>
      <c r="T87" s="775">
        <f t="shared" si="6"/>
        <v>3</v>
      </c>
      <c r="U87" s="704">
        <f t="shared" si="6"/>
        <v>1.45</v>
      </c>
      <c r="V87" s="1"/>
      <c r="W87" s="1"/>
    </row>
    <row r="88" spans="1:23" customFormat="1" ht="13.5" thickBot="1" x14ac:dyDescent="0.25">
      <c r="A88" s="430"/>
      <c r="B88" s="519" t="s">
        <v>137</v>
      </c>
      <c r="C88" s="517">
        <v>0</v>
      </c>
      <c r="D88" s="520">
        <v>0</v>
      </c>
      <c r="E88" s="517">
        <v>0</v>
      </c>
      <c r="F88" s="520">
        <v>0</v>
      </c>
      <c r="G88" s="517">
        <v>0</v>
      </c>
      <c r="H88" s="520">
        <v>0</v>
      </c>
      <c r="I88" s="517">
        <v>0</v>
      </c>
      <c r="J88" s="520">
        <v>0</v>
      </c>
      <c r="K88" s="517">
        <v>0</v>
      </c>
      <c r="L88" s="520">
        <v>0</v>
      </c>
      <c r="M88" s="517">
        <v>0</v>
      </c>
      <c r="N88" s="520">
        <v>0</v>
      </c>
      <c r="O88" s="517">
        <v>0</v>
      </c>
      <c r="P88" s="520">
        <v>0</v>
      </c>
      <c r="Q88" s="916"/>
      <c r="R88" s="918"/>
      <c r="S88" s="22"/>
      <c r="T88" s="775">
        <f t="shared" si="6"/>
        <v>0</v>
      </c>
      <c r="U88" s="704">
        <f t="shared" si="6"/>
        <v>0</v>
      </c>
      <c r="V88" s="1"/>
      <c r="W88" s="22"/>
    </row>
    <row r="89" spans="1:23" customFormat="1" ht="17.25" thickTop="1" thickBot="1" x14ac:dyDescent="0.3">
      <c r="A89" s="521"/>
      <c r="B89" s="522"/>
      <c r="C89" s="1230" t="s">
        <v>30</v>
      </c>
      <c r="D89" s="1259"/>
      <c r="E89" s="1230" t="s">
        <v>31</v>
      </c>
      <c r="F89" s="1259"/>
      <c r="G89" s="1249" t="s">
        <v>110</v>
      </c>
      <c r="H89" s="1257"/>
      <c r="I89" s="1249" t="s">
        <v>111</v>
      </c>
      <c r="J89" s="1257"/>
      <c r="K89" s="1249" t="s">
        <v>128</v>
      </c>
      <c r="L89" s="1257"/>
      <c r="M89" s="1254" t="s">
        <v>129</v>
      </c>
      <c r="N89" s="1219"/>
      <c r="O89" s="1218" t="s">
        <v>156</v>
      </c>
      <c r="P89" s="1219"/>
      <c r="Q89" s="1218" t="s">
        <v>161</v>
      </c>
      <c r="R89" s="1219"/>
      <c r="S89" s="625"/>
      <c r="T89" s="1250"/>
      <c r="U89" s="1372"/>
      <c r="V89" s="1"/>
      <c r="W89" s="1"/>
    </row>
    <row r="90" spans="1:23" customFormat="1" x14ac:dyDescent="0.2">
      <c r="A90" s="1"/>
      <c r="B90" s="524" t="s">
        <v>136</v>
      </c>
      <c r="C90" s="1"/>
      <c r="D90" s="525"/>
      <c r="E90" s="526"/>
      <c r="F90" s="527"/>
      <c r="G90" s="528"/>
      <c r="H90" s="529"/>
      <c r="I90" s="530"/>
      <c r="J90" s="243"/>
      <c r="K90" s="531"/>
      <c r="L90" s="532"/>
      <c r="M90" s="531"/>
      <c r="N90" s="547"/>
      <c r="O90" s="531"/>
      <c r="P90" s="547"/>
      <c r="Q90" s="531"/>
      <c r="R90" s="547"/>
      <c r="S90" s="22"/>
      <c r="T90" s="583"/>
      <c r="U90" s="533"/>
      <c r="V90" s="1"/>
      <c r="W90" s="1"/>
    </row>
    <row r="91" spans="1:23" customFormat="1" x14ac:dyDescent="0.2">
      <c r="A91" s="430"/>
      <c r="B91" s="842" t="s">
        <v>118</v>
      </c>
      <c r="C91" s="1262">
        <v>5.3</v>
      </c>
      <c r="D91" s="1263"/>
      <c r="E91" s="535"/>
      <c r="F91" s="536"/>
      <c r="G91" s="537"/>
      <c r="H91" s="538"/>
      <c r="I91" s="1262">
        <v>4.1500000000000004</v>
      </c>
      <c r="J91" s="1263"/>
      <c r="K91" s="539"/>
      <c r="L91" s="540"/>
      <c r="M91" s="539"/>
      <c r="N91" s="547"/>
      <c r="O91" s="539"/>
      <c r="P91" s="547"/>
      <c r="Q91" s="539"/>
      <c r="R91" s="547"/>
      <c r="S91" s="22"/>
      <c r="T91" s="583"/>
      <c r="U91" s="541"/>
      <c r="V91" s="1"/>
      <c r="W91" s="1"/>
    </row>
    <row r="92" spans="1:23" customFormat="1" x14ac:dyDescent="0.2">
      <c r="A92" s="430"/>
      <c r="B92" s="843" t="s">
        <v>119</v>
      </c>
      <c r="C92" s="1262"/>
      <c r="D92" s="1263"/>
      <c r="E92" s="535"/>
      <c r="F92" s="536"/>
      <c r="G92" s="537"/>
      <c r="H92" s="538"/>
      <c r="I92" s="1262"/>
      <c r="J92" s="1263"/>
      <c r="K92" s="539"/>
      <c r="L92" s="540"/>
      <c r="M92" s="539"/>
      <c r="N92" s="547"/>
      <c r="O92" s="539"/>
      <c r="P92" s="547"/>
      <c r="Q92" s="539"/>
      <c r="R92" s="547"/>
      <c r="S92" s="22"/>
      <c r="T92" s="583"/>
      <c r="U92" s="541"/>
      <c r="V92" s="1"/>
      <c r="W92" s="1"/>
    </row>
    <row r="93" spans="1:23" customFormat="1" x14ac:dyDescent="0.2">
      <c r="A93" s="430"/>
      <c r="B93" s="843" t="s">
        <v>120</v>
      </c>
      <c r="C93" s="1262">
        <v>1.5</v>
      </c>
      <c r="D93" s="1263"/>
      <c r="E93" s="535"/>
      <c r="F93" s="536"/>
      <c r="G93" s="537"/>
      <c r="H93" s="538"/>
      <c r="I93" s="1262">
        <v>2.5</v>
      </c>
      <c r="J93" s="1263"/>
      <c r="K93" s="539"/>
      <c r="L93" s="540"/>
      <c r="M93" s="539"/>
      <c r="N93" s="547"/>
      <c r="O93" s="539"/>
      <c r="P93" s="547"/>
      <c r="Q93" s="539"/>
      <c r="R93" s="547"/>
      <c r="S93" s="22"/>
      <c r="T93" s="583"/>
      <c r="U93" s="541"/>
      <c r="V93" s="1"/>
      <c r="W93" s="1"/>
    </row>
    <row r="94" spans="1:23" customFormat="1" x14ac:dyDescent="0.2">
      <c r="A94" s="430"/>
      <c r="B94" s="842" t="s">
        <v>121</v>
      </c>
      <c r="C94" s="1262">
        <v>1.5</v>
      </c>
      <c r="D94" s="1263"/>
      <c r="E94" s="535"/>
      <c r="F94" s="536"/>
      <c r="G94" s="537"/>
      <c r="H94" s="538"/>
      <c r="I94" s="1262">
        <v>0.25</v>
      </c>
      <c r="J94" s="1263"/>
      <c r="K94" s="539"/>
      <c r="L94" s="540"/>
      <c r="M94" s="539"/>
      <c r="N94" s="547"/>
      <c r="O94" s="539"/>
      <c r="P94" s="547"/>
      <c r="Q94" s="539"/>
      <c r="R94" s="547"/>
      <c r="S94" s="22"/>
      <c r="T94" s="583"/>
      <c r="U94" s="541"/>
      <c r="V94" s="1"/>
      <c r="W94" s="1"/>
    </row>
    <row r="95" spans="1:23" customFormat="1" x14ac:dyDescent="0.2">
      <c r="A95" s="430"/>
      <c r="B95" s="844" t="s">
        <v>122</v>
      </c>
      <c r="C95" s="1262">
        <v>5.4</v>
      </c>
      <c r="D95" s="1263"/>
      <c r="E95" s="535"/>
      <c r="F95" s="536"/>
      <c r="G95" s="537"/>
      <c r="H95" s="538"/>
      <c r="I95" s="1262">
        <v>6.6</v>
      </c>
      <c r="J95" s="1263"/>
      <c r="K95" s="539"/>
      <c r="L95" s="540"/>
      <c r="M95" s="539"/>
      <c r="N95" s="547"/>
      <c r="O95" s="539"/>
      <c r="P95" s="547"/>
      <c r="Q95" s="539"/>
      <c r="R95" s="547"/>
      <c r="S95" s="22"/>
      <c r="T95" s="583"/>
      <c r="U95" s="541"/>
      <c r="V95" s="1"/>
      <c r="W95" s="1"/>
    </row>
    <row r="96" spans="1:23" customFormat="1" x14ac:dyDescent="0.2">
      <c r="A96" s="430"/>
      <c r="B96" s="844" t="s">
        <v>123</v>
      </c>
      <c r="C96" s="1262">
        <v>13.7</v>
      </c>
      <c r="D96" s="1263"/>
      <c r="E96" s="535"/>
      <c r="F96" s="536"/>
      <c r="G96" s="537"/>
      <c r="H96" s="538"/>
      <c r="I96" s="1262">
        <v>13.5</v>
      </c>
      <c r="J96" s="1263"/>
      <c r="K96" s="539"/>
      <c r="L96" s="540"/>
      <c r="M96" s="539"/>
      <c r="N96" s="547"/>
      <c r="O96" s="539"/>
      <c r="P96" s="547"/>
      <c r="Q96" s="539"/>
      <c r="R96" s="547"/>
      <c r="S96" s="22"/>
      <c r="T96" s="583"/>
      <c r="U96" s="541"/>
      <c r="V96" s="1"/>
      <c r="W96" s="1"/>
    </row>
    <row r="97" spans="1:23" customFormat="1" ht="13.5" thickBot="1" x14ac:dyDescent="0.25">
      <c r="A97" s="430"/>
      <c r="B97" s="649" t="s">
        <v>130</v>
      </c>
      <c r="C97" s="1316"/>
      <c r="D97" s="1317"/>
      <c r="E97" s="545"/>
      <c r="F97" s="546"/>
      <c r="G97" s="531"/>
      <c r="H97" s="547"/>
      <c r="I97" s="1316"/>
      <c r="J97" s="1317"/>
      <c r="K97" s="539"/>
      <c r="L97" s="540"/>
      <c r="M97" s="539"/>
      <c r="N97" s="547"/>
      <c r="O97" s="539"/>
      <c r="P97" s="547"/>
      <c r="Q97" s="539"/>
      <c r="R97" s="547"/>
      <c r="S97" s="22"/>
      <c r="T97" s="583"/>
      <c r="U97" s="541"/>
      <c r="V97" s="1"/>
      <c r="W97" s="1"/>
    </row>
    <row r="98" spans="1:23" customFormat="1" x14ac:dyDescent="0.2">
      <c r="A98" s="430"/>
      <c r="B98" s="842" t="s">
        <v>124</v>
      </c>
      <c r="C98" s="1314">
        <v>1013</v>
      </c>
      <c r="D98" s="1315"/>
      <c r="E98" s="548"/>
      <c r="F98" s="549"/>
      <c r="G98" s="550"/>
      <c r="H98" s="551"/>
      <c r="I98" s="1314">
        <v>811</v>
      </c>
      <c r="J98" s="1315"/>
      <c r="K98" s="539"/>
      <c r="L98" s="540"/>
      <c r="M98" s="539"/>
      <c r="N98" s="547"/>
      <c r="O98" s="539"/>
      <c r="P98" s="547"/>
      <c r="Q98" s="539"/>
      <c r="R98" s="547"/>
      <c r="S98" s="22"/>
      <c r="T98" s="583"/>
      <c r="U98" s="541"/>
      <c r="V98" s="1"/>
      <c r="W98" s="1"/>
    </row>
    <row r="99" spans="1:23" customFormat="1" x14ac:dyDescent="0.2">
      <c r="A99" s="430"/>
      <c r="B99" s="844" t="s">
        <v>125</v>
      </c>
      <c r="C99" s="1314">
        <v>168</v>
      </c>
      <c r="D99" s="1315"/>
      <c r="E99" s="548"/>
      <c r="F99" s="549"/>
      <c r="G99" s="550"/>
      <c r="H99" s="551"/>
      <c r="I99" s="1314">
        <v>377</v>
      </c>
      <c r="J99" s="1315"/>
      <c r="K99" s="539"/>
      <c r="L99" s="540"/>
      <c r="M99" s="539"/>
      <c r="N99" s="547"/>
      <c r="O99" s="539"/>
      <c r="P99" s="547"/>
      <c r="Q99" s="539"/>
      <c r="R99" s="547"/>
      <c r="S99" s="22"/>
      <c r="T99" s="583"/>
      <c r="U99" s="541"/>
      <c r="V99" s="1"/>
      <c r="W99" s="1"/>
    </row>
    <row r="100" spans="1:23" customFormat="1" x14ac:dyDescent="0.2">
      <c r="A100" s="430"/>
      <c r="B100" s="844" t="s">
        <v>126</v>
      </c>
      <c r="C100" s="1314">
        <v>1995</v>
      </c>
      <c r="D100" s="1315"/>
      <c r="E100" s="548"/>
      <c r="F100" s="549"/>
      <c r="G100" s="550"/>
      <c r="H100" s="551"/>
      <c r="I100" s="1314">
        <v>1386</v>
      </c>
      <c r="J100" s="1315"/>
      <c r="K100" s="539"/>
      <c r="L100" s="540"/>
      <c r="M100" s="539"/>
      <c r="N100" s="547"/>
      <c r="O100" s="539"/>
      <c r="P100" s="547"/>
      <c r="Q100" s="539"/>
      <c r="R100" s="547"/>
      <c r="S100" s="22"/>
      <c r="T100" s="583"/>
      <c r="U100" s="541"/>
      <c r="V100" s="1"/>
      <c r="W100" s="1"/>
    </row>
    <row r="101" spans="1:23" customFormat="1" x14ac:dyDescent="0.2">
      <c r="A101" s="430"/>
      <c r="B101" s="844" t="s">
        <v>135</v>
      </c>
      <c r="C101" s="1314">
        <v>3176</v>
      </c>
      <c r="D101" s="1315"/>
      <c r="E101" s="548"/>
      <c r="F101" s="549"/>
      <c r="G101" s="550"/>
      <c r="H101" s="551"/>
      <c r="I101" s="1314">
        <v>2574</v>
      </c>
      <c r="J101" s="1315"/>
      <c r="K101" s="539"/>
      <c r="L101" s="540"/>
      <c r="M101" s="539"/>
      <c r="N101" s="547"/>
      <c r="O101" s="539"/>
      <c r="P101" s="547"/>
      <c r="Q101" s="539"/>
      <c r="R101" s="547"/>
      <c r="S101" s="22"/>
      <c r="T101" s="583"/>
      <c r="U101" s="541"/>
      <c r="V101" s="1"/>
      <c r="W101" s="1"/>
    </row>
    <row r="102" spans="1:23" customFormat="1" ht="13.5" thickBot="1" x14ac:dyDescent="0.25">
      <c r="A102" s="430"/>
      <c r="B102" s="544" t="s">
        <v>131</v>
      </c>
      <c r="C102" s="1316"/>
      <c r="D102" s="1317"/>
      <c r="E102" s="545"/>
      <c r="F102" s="546"/>
      <c r="G102" s="531"/>
      <c r="H102" s="547"/>
      <c r="I102" s="1316"/>
      <c r="J102" s="1317"/>
      <c r="K102" s="539"/>
      <c r="L102" s="540"/>
      <c r="M102" s="539"/>
      <c r="N102" s="547"/>
      <c r="O102" s="539"/>
      <c r="P102" s="547"/>
      <c r="Q102" s="539"/>
      <c r="R102" s="547"/>
      <c r="S102" s="22"/>
      <c r="T102" s="583"/>
      <c r="U102" s="541"/>
      <c r="V102" s="22"/>
      <c r="W102" s="22"/>
    </row>
    <row r="103" spans="1:23" customFormat="1" x14ac:dyDescent="0.2">
      <c r="A103" s="430"/>
      <c r="B103" s="534" t="s">
        <v>132</v>
      </c>
      <c r="C103" s="1264">
        <v>191</v>
      </c>
      <c r="D103" s="1265"/>
      <c r="E103" s="552"/>
      <c r="F103" s="553"/>
      <c r="G103" s="554"/>
      <c r="H103" s="555"/>
      <c r="I103" s="1264">
        <v>195</v>
      </c>
      <c r="J103" s="1265"/>
      <c r="K103" s="556"/>
      <c r="L103" s="557"/>
      <c r="M103" s="556"/>
      <c r="N103" s="555"/>
      <c r="O103" s="556"/>
      <c r="P103" s="555"/>
      <c r="Q103" s="556"/>
      <c r="R103" s="555"/>
      <c r="S103" s="626"/>
      <c r="T103" s="558"/>
      <c r="U103" s="541"/>
      <c r="V103" s="432"/>
      <c r="W103" s="432"/>
    </row>
    <row r="104" spans="1:23" customFormat="1" x14ac:dyDescent="0.2">
      <c r="A104" s="430"/>
      <c r="B104" s="543" t="s">
        <v>133</v>
      </c>
      <c r="C104" s="1264">
        <v>112</v>
      </c>
      <c r="D104" s="1265"/>
      <c r="E104" s="552"/>
      <c r="F104" s="553"/>
      <c r="G104" s="554"/>
      <c r="H104" s="555"/>
      <c r="I104" s="1264">
        <v>150.80000000000001</v>
      </c>
      <c r="J104" s="1265"/>
      <c r="K104" s="556"/>
      <c r="L104" s="557"/>
      <c r="M104" s="556"/>
      <c r="N104" s="555"/>
      <c r="O104" s="556"/>
      <c r="P104" s="555"/>
      <c r="Q104" s="556"/>
      <c r="R104" s="555"/>
      <c r="S104" s="626"/>
      <c r="T104" s="558"/>
      <c r="U104" s="541"/>
      <c r="V104" s="432"/>
      <c r="W104" s="432"/>
    </row>
    <row r="105" spans="1:23" customFormat="1" x14ac:dyDescent="0.2">
      <c r="A105" s="430"/>
      <c r="B105" s="543" t="s">
        <v>134</v>
      </c>
      <c r="C105" s="1264">
        <v>369</v>
      </c>
      <c r="D105" s="1265"/>
      <c r="E105" s="552"/>
      <c r="F105" s="553"/>
      <c r="G105" s="554"/>
      <c r="H105" s="555"/>
      <c r="I105" s="1264">
        <v>210</v>
      </c>
      <c r="J105" s="1265"/>
      <c r="K105" s="556"/>
      <c r="L105" s="557"/>
      <c r="M105" s="556"/>
      <c r="N105" s="555"/>
      <c r="O105" s="556"/>
      <c r="P105" s="555"/>
      <c r="Q105" s="556"/>
      <c r="R105" s="555"/>
      <c r="S105" s="626"/>
      <c r="T105" s="558"/>
      <c r="U105" s="541"/>
      <c r="V105" s="432"/>
      <c r="W105" s="432"/>
    </row>
    <row r="106" spans="1:23" customFormat="1" ht="13.5" thickBot="1" x14ac:dyDescent="0.25">
      <c r="A106" s="430"/>
      <c r="B106" s="559" t="s">
        <v>127</v>
      </c>
      <c r="C106" s="1328">
        <v>232</v>
      </c>
      <c r="D106" s="1329"/>
      <c r="E106" s="560"/>
      <c r="F106" s="561"/>
      <c r="G106" s="562"/>
      <c r="H106" s="563"/>
      <c r="I106" s="1328">
        <v>190.7</v>
      </c>
      <c r="J106" s="1329"/>
      <c r="K106" s="562"/>
      <c r="L106" s="563"/>
      <c r="M106" s="562"/>
      <c r="N106" s="563"/>
      <c r="O106" s="562"/>
      <c r="P106" s="563"/>
      <c r="Q106" s="562"/>
      <c r="R106" s="563"/>
      <c r="S106" s="626"/>
      <c r="T106" s="564"/>
      <c r="U106" s="776"/>
      <c r="V106" s="432"/>
      <c r="W106" s="432"/>
    </row>
    <row r="107" spans="1:23" ht="13.5" thickTop="1" x14ac:dyDescent="0.2"/>
  </sheetData>
  <mergeCells count="108">
    <mergeCell ref="C84:D84"/>
    <mergeCell ref="E84:F84"/>
    <mergeCell ref="G84:H84"/>
    <mergeCell ref="I84:J84"/>
    <mergeCell ref="K84:L84"/>
    <mergeCell ref="K7:L7"/>
    <mergeCell ref="K16:L16"/>
    <mergeCell ref="K31:L31"/>
    <mergeCell ref="K55:L55"/>
    <mergeCell ref="K24:L24"/>
    <mergeCell ref="K27:L27"/>
    <mergeCell ref="C55:D55"/>
    <mergeCell ref="G31:H31"/>
    <mergeCell ref="G55:H55"/>
    <mergeCell ref="E55:F55"/>
    <mergeCell ref="G27:H27"/>
    <mergeCell ref="E25:F25"/>
    <mergeCell ref="I7:J7"/>
    <mergeCell ref="I16:J16"/>
    <mergeCell ref="G16:H16"/>
    <mergeCell ref="G24:H24"/>
    <mergeCell ref="G25:H25"/>
    <mergeCell ref="E26:F26"/>
    <mergeCell ref="G26:H26"/>
    <mergeCell ref="I31:J31"/>
    <mergeCell ref="M84:N84"/>
    <mergeCell ref="M7:N7"/>
    <mergeCell ref="M16:N16"/>
    <mergeCell ref="M31:N31"/>
    <mergeCell ref="M55:N55"/>
    <mergeCell ref="M24:N24"/>
    <mergeCell ref="M27:N27"/>
    <mergeCell ref="I55:J55"/>
    <mergeCell ref="I24:J24"/>
    <mergeCell ref="I27:J27"/>
    <mergeCell ref="I25:J25"/>
    <mergeCell ref="I26:J26"/>
    <mergeCell ref="C16:D16"/>
    <mergeCell ref="E16:F16"/>
    <mergeCell ref="C31:D31"/>
    <mergeCell ref="E31:F31"/>
    <mergeCell ref="C24:D24"/>
    <mergeCell ref="E24:F24"/>
    <mergeCell ref="C25:D25"/>
    <mergeCell ref="C26:D26"/>
    <mergeCell ref="C27:D27"/>
    <mergeCell ref="E27:F27"/>
    <mergeCell ref="T89:U89"/>
    <mergeCell ref="C91:D91"/>
    <mergeCell ref="I91:J91"/>
    <mergeCell ref="C89:D89"/>
    <mergeCell ref="E89:F89"/>
    <mergeCell ref="G89:H89"/>
    <mergeCell ref="I89:J89"/>
    <mergeCell ref="K89:L89"/>
    <mergeCell ref="M89:N89"/>
    <mergeCell ref="C96:D96"/>
    <mergeCell ref="I96:J96"/>
    <mergeCell ref="C97:D97"/>
    <mergeCell ref="I97:J97"/>
    <mergeCell ref="C94:D94"/>
    <mergeCell ref="I94:J94"/>
    <mergeCell ref="C95:D95"/>
    <mergeCell ref="I95:J95"/>
    <mergeCell ref="C92:D92"/>
    <mergeCell ref="I92:J92"/>
    <mergeCell ref="C93:D93"/>
    <mergeCell ref="I93:J93"/>
    <mergeCell ref="T84:U84"/>
    <mergeCell ref="T16:U16"/>
    <mergeCell ref="T7:U7"/>
    <mergeCell ref="T31:U31"/>
    <mergeCell ref="T55:U55"/>
    <mergeCell ref="T24:U24"/>
    <mergeCell ref="C106:D106"/>
    <mergeCell ref="I106:J106"/>
    <mergeCell ref="C104:D104"/>
    <mergeCell ref="I104:J104"/>
    <mergeCell ref="C105:D105"/>
    <mergeCell ref="I105:J105"/>
    <mergeCell ref="C102:D102"/>
    <mergeCell ref="I102:J102"/>
    <mergeCell ref="C103:D103"/>
    <mergeCell ref="I103:J103"/>
    <mergeCell ref="C100:D100"/>
    <mergeCell ref="I100:J100"/>
    <mergeCell ref="C101:D101"/>
    <mergeCell ref="I101:J101"/>
    <mergeCell ref="C98:D98"/>
    <mergeCell ref="I98:J98"/>
    <mergeCell ref="C99:D99"/>
    <mergeCell ref="I99:J99"/>
    <mergeCell ref="Q31:R31"/>
    <mergeCell ref="Q55:R55"/>
    <mergeCell ref="Q84:R84"/>
    <mergeCell ref="Q89:R89"/>
    <mergeCell ref="Q7:R7"/>
    <mergeCell ref="Q16:R16"/>
    <mergeCell ref="Q24:R24"/>
    <mergeCell ref="Q27:R27"/>
    <mergeCell ref="O31:P31"/>
    <mergeCell ref="O55:P55"/>
    <mergeCell ref="O84:P84"/>
    <mergeCell ref="O89:P89"/>
    <mergeCell ref="O7:P7"/>
    <mergeCell ref="O16:P16"/>
    <mergeCell ref="O24:P24"/>
    <mergeCell ref="O27:P27"/>
  </mergeCells>
  <phoneticPr fontId="0" type="noConversion"/>
  <printOptions horizontalCentered="1"/>
  <pageMargins left="0.5" right="0.5" top="0.5" bottom="0.5" header="0.5" footer="0.5"/>
  <pageSetup scale="74" orientation="landscape" horizontalDpi="4294967292" verticalDpi="4294967292" r:id="rId1"/>
  <headerFooter alignWithMargins="0">
    <oddFooter>&amp;R&amp;8&amp;P of &amp;N
&amp;D</oddFooter>
  </headerFooter>
  <rowBreaks count="1" manualBreakCount="1">
    <brk id="52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X116"/>
  <sheetViews>
    <sheetView view="pageBreakPreview" zoomScaleNormal="100" workbookViewId="0">
      <selection activeCell="Q4" sqref="Q4"/>
    </sheetView>
  </sheetViews>
  <sheetFormatPr defaultColWidth="10.28515625" defaultRowHeight="12.75" x14ac:dyDescent="0.2"/>
  <cols>
    <col min="1" max="1" width="3.7109375" style="1" customWidth="1"/>
    <col min="2" max="2" width="33.7109375" style="1" customWidth="1"/>
    <col min="3" max="3" width="10.140625" hidden="1" customWidth="1"/>
    <col min="4" max="4" width="11" hidden="1" customWidth="1"/>
    <col min="5" max="5" width="7.7109375" hidden="1" customWidth="1"/>
    <col min="6" max="6" width="11.140625" hidden="1" customWidth="1"/>
    <col min="7" max="7" width="7.7109375" style="204" customWidth="1"/>
    <col min="8" max="8" width="11.140625" style="204" customWidth="1"/>
    <col min="9" max="9" width="7.7109375" style="204" customWidth="1"/>
    <col min="10" max="10" width="11.140625" style="204" customWidth="1"/>
    <col min="11" max="11" width="7.7109375" style="1" customWidth="1"/>
    <col min="12" max="12" width="11.140625" style="1" customWidth="1"/>
    <col min="13" max="13" width="7.7109375" style="1" customWidth="1"/>
    <col min="14" max="14" width="11.140625" style="1" customWidth="1"/>
    <col min="15" max="15" width="7.7109375" style="1" customWidth="1"/>
    <col min="16" max="16" width="11.140625" style="1" customWidth="1"/>
    <col min="17" max="17" width="7.7109375" style="1" customWidth="1"/>
    <col min="18" max="18" width="11.140625" style="1" customWidth="1"/>
    <col min="19" max="19" width="3.140625" style="1" customWidth="1"/>
    <col min="20" max="21" width="10.42578125" style="1" customWidth="1"/>
    <col min="22" max="16384" width="10.28515625" style="1"/>
  </cols>
  <sheetData>
    <row r="1" spans="1:21" ht="18" x14ac:dyDescent="0.25">
      <c r="A1" s="694" t="str">
        <f>Dean_Ed!A1</f>
        <v>Department Profile Report - FY 2015</v>
      </c>
      <c r="B1" s="694"/>
      <c r="C1" s="694"/>
      <c r="D1" s="694"/>
      <c r="E1" s="694"/>
      <c r="F1" s="694"/>
      <c r="G1" s="695"/>
      <c r="H1" s="695"/>
      <c r="I1" s="695"/>
      <c r="J1" s="695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</row>
    <row r="2" spans="1:21" ht="12" x14ac:dyDescent="0.2">
      <c r="C2" s="1"/>
      <c r="D2" s="1"/>
      <c r="E2" s="1"/>
      <c r="F2" s="1"/>
      <c r="G2" s="203"/>
      <c r="H2" s="203"/>
      <c r="I2" s="203"/>
      <c r="J2" s="203"/>
    </row>
    <row r="3" spans="1:21" x14ac:dyDescent="0.2">
      <c r="A3" s="3" t="s">
        <v>19</v>
      </c>
      <c r="C3" s="1"/>
      <c r="D3" s="1"/>
      <c r="E3" s="1"/>
      <c r="F3" s="1"/>
      <c r="G3" s="203"/>
      <c r="H3" s="203"/>
      <c r="I3" s="203"/>
      <c r="J3" s="203"/>
    </row>
    <row r="4" spans="1:21" ht="3" customHeight="1" x14ac:dyDescent="0.2">
      <c r="C4" s="1"/>
      <c r="D4" s="1"/>
      <c r="E4" s="1"/>
      <c r="F4" s="1"/>
      <c r="G4" s="203"/>
      <c r="H4" s="203"/>
      <c r="I4" s="203"/>
      <c r="J4" s="203"/>
    </row>
    <row r="5" spans="1:21" x14ac:dyDescent="0.2">
      <c r="A5" s="3" t="s">
        <v>54</v>
      </c>
      <c r="C5" s="1"/>
      <c r="D5" s="1"/>
      <c r="E5" s="1"/>
      <c r="F5" s="1"/>
      <c r="G5" s="203"/>
      <c r="H5" s="203"/>
      <c r="I5" s="203"/>
      <c r="J5" s="203"/>
    </row>
    <row r="6" spans="1:21" thickBot="1" x14ac:dyDescent="0.25">
      <c r="A6" s="2"/>
      <c r="C6" s="1"/>
      <c r="D6" s="1"/>
      <c r="E6" s="1"/>
      <c r="F6" s="1"/>
      <c r="G6" s="203"/>
      <c r="H6" s="203"/>
      <c r="I6" s="203"/>
      <c r="J6" s="203"/>
    </row>
    <row r="7" spans="1:21" ht="13.5" customHeight="1" thickTop="1" x14ac:dyDescent="0.2">
      <c r="B7" s="42"/>
      <c r="C7" s="10" t="s">
        <v>28</v>
      </c>
      <c r="D7" s="23"/>
      <c r="E7" s="10" t="s">
        <v>29</v>
      </c>
      <c r="F7" s="7"/>
      <c r="G7" s="252" t="s">
        <v>89</v>
      </c>
      <c r="H7" s="363"/>
      <c r="I7" s="1278" t="s">
        <v>99</v>
      </c>
      <c r="J7" s="1278"/>
      <c r="K7" s="1281" t="s">
        <v>101</v>
      </c>
      <c r="L7" s="1278"/>
      <c r="M7" s="1281" t="s">
        <v>106</v>
      </c>
      <c r="N7" s="1278"/>
      <c r="O7" s="1281" t="s">
        <v>155</v>
      </c>
      <c r="P7" s="1279"/>
      <c r="Q7" s="1278" t="s">
        <v>160</v>
      </c>
      <c r="R7" s="1279"/>
      <c r="T7" s="1276" t="s">
        <v>142</v>
      </c>
      <c r="U7" s="1277"/>
    </row>
    <row r="8" spans="1:21" ht="12" x14ac:dyDescent="0.2">
      <c r="B8" s="43"/>
      <c r="C8" s="11" t="s">
        <v>0</v>
      </c>
      <c r="D8" s="24" t="s">
        <v>1</v>
      </c>
      <c r="E8" s="11" t="s">
        <v>0</v>
      </c>
      <c r="F8" s="8" t="s">
        <v>1</v>
      </c>
      <c r="G8" s="253" t="s">
        <v>0</v>
      </c>
      <c r="H8" s="337" t="s">
        <v>1</v>
      </c>
      <c r="I8" s="205" t="s">
        <v>0</v>
      </c>
      <c r="J8" s="387" t="s">
        <v>1</v>
      </c>
      <c r="K8" s="253" t="s">
        <v>0</v>
      </c>
      <c r="L8" s="387" t="s">
        <v>1</v>
      </c>
      <c r="M8" s="253" t="s">
        <v>0</v>
      </c>
      <c r="N8" s="337" t="s">
        <v>1</v>
      </c>
      <c r="O8" s="205" t="s">
        <v>0</v>
      </c>
      <c r="P8" s="337" t="s">
        <v>1</v>
      </c>
      <c r="Q8" s="205" t="s">
        <v>0</v>
      </c>
      <c r="R8" s="337" t="s">
        <v>1</v>
      </c>
      <c r="T8" s="642" t="s">
        <v>143</v>
      </c>
      <c r="U8" s="643" t="s">
        <v>1</v>
      </c>
    </row>
    <row r="9" spans="1:21" thickBot="1" x14ac:dyDescent="0.25">
      <c r="B9" s="44"/>
      <c r="C9" s="17" t="s">
        <v>2</v>
      </c>
      <c r="D9" s="25" t="s">
        <v>3</v>
      </c>
      <c r="E9" s="17" t="s">
        <v>2</v>
      </c>
      <c r="F9" s="18" t="s">
        <v>3</v>
      </c>
      <c r="G9" s="305" t="s">
        <v>2</v>
      </c>
      <c r="H9" s="338" t="s">
        <v>3</v>
      </c>
      <c r="I9" s="226" t="s">
        <v>2</v>
      </c>
      <c r="J9" s="386" t="s">
        <v>3</v>
      </c>
      <c r="K9" s="305" t="s">
        <v>2</v>
      </c>
      <c r="L9" s="386" t="s">
        <v>3</v>
      </c>
      <c r="M9" s="305" t="s">
        <v>2</v>
      </c>
      <c r="N9" s="338" t="s">
        <v>3</v>
      </c>
      <c r="O9" s="226" t="s">
        <v>2</v>
      </c>
      <c r="P9" s="338" t="s">
        <v>3</v>
      </c>
      <c r="Q9" s="226" t="s">
        <v>2</v>
      </c>
      <c r="R9" s="338" t="s">
        <v>3</v>
      </c>
      <c r="T9" s="640" t="s">
        <v>2</v>
      </c>
      <c r="U9" s="641" t="s">
        <v>3</v>
      </c>
    </row>
    <row r="10" spans="1:21" ht="12" x14ac:dyDescent="0.2">
      <c r="B10" s="45" t="s">
        <v>4</v>
      </c>
      <c r="C10" s="120"/>
      <c r="D10" s="26"/>
      <c r="E10" s="14"/>
      <c r="F10" s="15"/>
      <c r="G10" s="118"/>
      <c r="H10" s="119"/>
      <c r="I10" s="120"/>
      <c r="J10" s="374"/>
      <c r="K10" s="118"/>
      <c r="L10" s="374"/>
      <c r="M10" s="118"/>
      <c r="N10" s="119"/>
      <c r="O10" s="120"/>
      <c r="P10" s="119"/>
      <c r="Q10" s="120"/>
      <c r="R10" s="119"/>
      <c r="T10" s="484"/>
      <c r="U10" s="607"/>
    </row>
    <row r="11" spans="1:21" ht="12" x14ac:dyDescent="0.2">
      <c r="B11" s="326" t="s">
        <v>41</v>
      </c>
      <c r="C11" s="323"/>
      <c r="D11" s="28"/>
      <c r="E11" s="323"/>
      <c r="F11" s="5"/>
      <c r="G11" s="130"/>
      <c r="H11" s="355"/>
      <c r="I11" s="323"/>
      <c r="J11" s="376"/>
      <c r="K11" s="130"/>
      <c r="L11" s="376"/>
      <c r="M11" s="130"/>
      <c r="N11" s="355"/>
      <c r="O11" s="323"/>
      <c r="P11" s="355"/>
      <c r="Q11" s="323"/>
      <c r="R11" s="355"/>
      <c r="T11" s="599"/>
      <c r="U11" s="609"/>
    </row>
    <row r="12" spans="1:21" ht="12" x14ac:dyDescent="0.2">
      <c r="B12" s="47" t="s">
        <v>145</v>
      </c>
      <c r="C12" s="323">
        <v>213</v>
      </c>
      <c r="D12" s="419">
        <f>111+1</f>
        <v>112</v>
      </c>
      <c r="E12" s="323">
        <v>239</v>
      </c>
      <c r="F12" s="392">
        <v>124</v>
      </c>
      <c r="G12" s="371">
        <v>233</v>
      </c>
      <c r="H12" s="419">
        <v>117</v>
      </c>
      <c r="I12" s="420">
        <v>213</v>
      </c>
      <c r="J12" s="392">
        <f>41+67+1</f>
        <v>109</v>
      </c>
      <c r="K12" s="130">
        <v>243</v>
      </c>
      <c r="L12" s="392">
        <f>122+1</f>
        <v>123</v>
      </c>
      <c r="M12" s="130">
        <f>210+18</f>
        <v>228</v>
      </c>
      <c r="N12" s="419">
        <v>120</v>
      </c>
      <c r="O12" s="323">
        <v>210</v>
      </c>
      <c r="P12" s="783"/>
      <c r="Q12" s="504"/>
      <c r="R12" s="783"/>
      <c r="T12" s="597">
        <f>AVERAGE(O12,M12,K12,I12,G12)</f>
        <v>225.4</v>
      </c>
      <c r="U12" s="598">
        <f>AVERAGE(P12,N12,L12,J12,H12)</f>
        <v>117.25</v>
      </c>
    </row>
    <row r="13" spans="1:21" ht="12" x14ac:dyDescent="0.2">
      <c r="B13" s="47" t="s">
        <v>32</v>
      </c>
      <c r="C13" s="12">
        <v>42</v>
      </c>
      <c r="D13" s="61">
        <v>24</v>
      </c>
      <c r="E13" s="12">
        <v>11</v>
      </c>
      <c r="F13" s="55">
        <v>0</v>
      </c>
      <c r="G13" s="371">
        <v>2</v>
      </c>
      <c r="H13" s="419">
        <v>0</v>
      </c>
      <c r="I13" s="420">
        <v>1</v>
      </c>
      <c r="J13" s="392">
        <v>0</v>
      </c>
      <c r="K13" s="130">
        <v>1</v>
      </c>
      <c r="L13" s="392">
        <v>0</v>
      </c>
      <c r="M13" s="433"/>
      <c r="N13" s="783"/>
      <c r="O13" s="504"/>
      <c r="P13" s="783"/>
      <c r="Q13" s="504"/>
      <c r="R13" s="783"/>
      <c r="T13" s="597">
        <f t="shared" ref="T13:T20" si="0">AVERAGE(O13,M13,K13,I13,G13)</f>
        <v>1.3333333333333333</v>
      </c>
      <c r="U13" s="598">
        <f t="shared" ref="U13:U20" si="1">AVERAGE(P13,N13,L13,J13,H13)</f>
        <v>0</v>
      </c>
    </row>
    <row r="14" spans="1:21" ht="12" x14ac:dyDescent="0.2">
      <c r="B14" s="102" t="s">
        <v>104</v>
      </c>
      <c r="C14" s="14"/>
      <c r="D14" s="63">
        <v>14</v>
      </c>
      <c r="E14" s="14">
        <v>0</v>
      </c>
      <c r="F14" s="60">
        <v>0</v>
      </c>
      <c r="G14" s="434">
        <v>0</v>
      </c>
      <c r="H14" s="435">
        <v>0</v>
      </c>
      <c r="I14" s="436">
        <v>1</v>
      </c>
      <c r="J14" s="437">
        <v>0</v>
      </c>
      <c r="K14" s="118">
        <v>0</v>
      </c>
      <c r="L14" s="437">
        <v>0</v>
      </c>
      <c r="M14" s="118">
        <v>2</v>
      </c>
      <c r="N14" s="435">
        <v>8</v>
      </c>
      <c r="O14" s="120">
        <v>21</v>
      </c>
      <c r="P14" s="1118"/>
      <c r="Q14" s="1117"/>
      <c r="R14" s="1118"/>
      <c r="T14" s="597">
        <f t="shared" si="0"/>
        <v>4.8</v>
      </c>
      <c r="U14" s="598">
        <f t="shared" si="1"/>
        <v>2</v>
      </c>
    </row>
    <row r="15" spans="1:21" ht="12" x14ac:dyDescent="0.2">
      <c r="B15" s="327" t="s">
        <v>97</v>
      </c>
      <c r="C15" s="14"/>
      <c r="D15" s="63"/>
      <c r="E15" s="14"/>
      <c r="F15" s="60"/>
      <c r="G15" s="434"/>
      <c r="H15" s="435"/>
      <c r="I15" s="436"/>
      <c r="J15" s="437"/>
      <c r="K15" s="118"/>
      <c r="L15" s="437"/>
      <c r="M15" s="118"/>
      <c r="N15" s="435"/>
      <c r="O15" s="120"/>
      <c r="P15" s="1118"/>
      <c r="Q15" s="1117"/>
      <c r="R15" s="1118"/>
      <c r="T15" s="597"/>
      <c r="U15" s="598"/>
    </row>
    <row r="16" spans="1:21" ht="12" x14ac:dyDescent="0.2">
      <c r="B16" s="102" t="s">
        <v>145</v>
      </c>
      <c r="C16" s="14">
        <v>14</v>
      </c>
      <c r="D16" s="435">
        <v>7</v>
      </c>
      <c r="E16" s="14">
        <v>16</v>
      </c>
      <c r="F16" s="437">
        <v>10</v>
      </c>
      <c r="G16" s="434">
        <v>13</v>
      </c>
      <c r="H16" s="435">
        <v>5</v>
      </c>
      <c r="I16" s="436">
        <v>13</v>
      </c>
      <c r="J16" s="437">
        <v>10</v>
      </c>
      <c r="K16" s="118">
        <v>12</v>
      </c>
      <c r="L16" s="437">
        <v>4</v>
      </c>
      <c r="M16" s="118">
        <f>14</f>
        <v>14</v>
      </c>
      <c r="N16" s="435">
        <v>9</v>
      </c>
      <c r="O16" s="120">
        <v>17</v>
      </c>
      <c r="P16" s="1118"/>
      <c r="Q16" s="1117"/>
      <c r="R16" s="1118"/>
      <c r="T16" s="597">
        <f t="shared" si="0"/>
        <v>13.8</v>
      </c>
      <c r="U16" s="598">
        <f t="shared" si="1"/>
        <v>7</v>
      </c>
    </row>
    <row r="17" spans="2:21" ht="12" x14ac:dyDescent="0.2">
      <c r="B17" s="330" t="s">
        <v>43</v>
      </c>
      <c r="C17" s="14"/>
      <c r="D17" s="63"/>
      <c r="E17" s="14"/>
      <c r="F17" s="60"/>
      <c r="G17" s="434"/>
      <c r="H17" s="435"/>
      <c r="I17" s="436"/>
      <c r="J17" s="437"/>
      <c r="K17" s="118"/>
      <c r="L17" s="437"/>
      <c r="M17" s="118"/>
      <c r="N17" s="435"/>
      <c r="O17" s="120"/>
      <c r="P17" s="1118"/>
      <c r="Q17" s="1117"/>
      <c r="R17" s="1118"/>
      <c r="T17" s="597"/>
      <c r="U17" s="598"/>
    </row>
    <row r="18" spans="2:21" ht="12" x14ac:dyDescent="0.2">
      <c r="B18" s="128" t="s">
        <v>145</v>
      </c>
      <c r="C18" s="72">
        <v>69</v>
      </c>
      <c r="D18" s="64">
        <v>12</v>
      </c>
      <c r="E18" s="72">
        <v>48</v>
      </c>
      <c r="F18" s="59">
        <v>9</v>
      </c>
      <c r="G18" s="107">
        <v>57</v>
      </c>
      <c r="H18" s="438">
        <v>8</v>
      </c>
      <c r="I18" s="108">
        <v>65</v>
      </c>
      <c r="J18" s="439">
        <v>13</v>
      </c>
      <c r="K18" s="124">
        <v>68</v>
      </c>
      <c r="L18" s="439">
        <v>9</v>
      </c>
      <c r="M18" s="124">
        <f>79+2</f>
        <v>81</v>
      </c>
      <c r="N18" s="438">
        <v>11</v>
      </c>
      <c r="O18" s="126">
        <v>86</v>
      </c>
      <c r="P18" s="1119"/>
      <c r="Q18" s="712"/>
      <c r="R18" s="1119"/>
      <c r="T18" s="597">
        <f t="shared" si="0"/>
        <v>71.400000000000006</v>
      </c>
      <c r="U18" s="598">
        <f t="shared" si="1"/>
        <v>10.25</v>
      </c>
    </row>
    <row r="19" spans="2:21" ht="12" x14ac:dyDescent="0.2">
      <c r="B19" s="328" t="s">
        <v>42</v>
      </c>
      <c r="C19" s="12"/>
      <c r="D19" s="61"/>
      <c r="E19" s="12"/>
      <c r="F19" s="55"/>
      <c r="G19" s="371"/>
      <c r="H19" s="419"/>
      <c r="I19" s="420"/>
      <c r="J19" s="392"/>
      <c r="K19" s="130"/>
      <c r="L19" s="392"/>
      <c r="M19" s="130"/>
      <c r="N19" s="419"/>
      <c r="O19" s="323"/>
      <c r="P19" s="783"/>
      <c r="Q19" s="504"/>
      <c r="R19" s="783"/>
      <c r="T19" s="597"/>
      <c r="U19" s="598"/>
    </row>
    <row r="20" spans="2:21" thickBot="1" x14ac:dyDescent="0.25">
      <c r="B20" s="329" t="s">
        <v>145</v>
      </c>
      <c r="C20" s="13">
        <v>49</v>
      </c>
      <c r="D20" s="62">
        <v>6</v>
      </c>
      <c r="E20" s="13">
        <v>53</v>
      </c>
      <c r="F20" s="74">
        <v>11</v>
      </c>
      <c r="G20" s="133">
        <v>54</v>
      </c>
      <c r="H20" s="421">
        <v>13</v>
      </c>
      <c r="I20" s="440">
        <v>47</v>
      </c>
      <c r="J20" s="441">
        <v>10</v>
      </c>
      <c r="K20" s="300">
        <v>35</v>
      </c>
      <c r="L20" s="441">
        <v>8</v>
      </c>
      <c r="M20" s="300">
        <f>42</f>
        <v>42</v>
      </c>
      <c r="N20" s="421">
        <v>7</v>
      </c>
      <c r="O20" s="324">
        <v>52</v>
      </c>
      <c r="P20" s="891"/>
      <c r="Q20" s="923"/>
      <c r="R20" s="891"/>
      <c r="T20" s="782">
        <f t="shared" si="0"/>
        <v>46</v>
      </c>
      <c r="U20" s="598">
        <f t="shared" si="1"/>
        <v>9.5</v>
      </c>
    </row>
    <row r="21" spans="2:21" thickTop="1" x14ac:dyDescent="0.2">
      <c r="B21" s="39" t="s">
        <v>27</v>
      </c>
      <c r="C21" s="37"/>
      <c r="D21" s="38"/>
      <c r="E21" s="37"/>
      <c r="F21" s="38"/>
      <c r="G21" s="138"/>
      <c r="H21" s="137"/>
      <c r="I21" s="138"/>
      <c r="J21" s="137"/>
      <c r="K21" s="138"/>
      <c r="L21" s="137"/>
      <c r="M21" s="138"/>
      <c r="N21" s="137"/>
      <c r="O21" s="138"/>
      <c r="P21" s="137"/>
      <c r="Q21" s="138"/>
      <c r="R21" s="137"/>
      <c r="T21" s="627"/>
      <c r="U21" s="627"/>
    </row>
    <row r="22" spans="2:21" ht="12" x14ac:dyDescent="0.2">
      <c r="B22" s="40" t="s">
        <v>26</v>
      </c>
      <c r="C22" s="37"/>
      <c r="D22" s="38"/>
      <c r="E22" s="37"/>
      <c r="F22" s="38"/>
      <c r="G22" s="138"/>
      <c r="H22" s="137"/>
      <c r="I22" s="138"/>
      <c r="J22" s="137"/>
      <c r="K22" s="138"/>
      <c r="L22" s="137"/>
      <c r="M22" s="138"/>
      <c r="N22" s="137"/>
      <c r="O22" s="138"/>
      <c r="P22" s="137"/>
      <c r="Q22" s="138"/>
      <c r="R22" s="137"/>
    </row>
    <row r="23" spans="2:21" ht="12" x14ac:dyDescent="0.2">
      <c r="B23" s="331" t="s">
        <v>108</v>
      </c>
      <c r="C23" s="37"/>
      <c r="D23" s="38"/>
      <c r="E23" s="37"/>
      <c r="F23" s="38"/>
      <c r="G23" s="138"/>
      <c r="H23" s="137"/>
      <c r="I23" s="138"/>
      <c r="J23" s="137"/>
      <c r="K23" s="138"/>
      <c r="L23" s="137"/>
      <c r="M23" s="138"/>
      <c r="N23" s="137"/>
      <c r="O23" s="138"/>
      <c r="P23" s="137"/>
      <c r="Q23" s="138"/>
      <c r="R23" s="137"/>
    </row>
    <row r="24" spans="2:21" thickBot="1" x14ac:dyDescent="0.25">
      <c r="C24" s="37"/>
      <c r="D24" s="38"/>
      <c r="E24" s="37"/>
      <c r="F24" s="38"/>
      <c r="G24" s="138"/>
      <c r="H24" s="137"/>
      <c r="I24" s="138"/>
      <c r="J24" s="137"/>
      <c r="K24" s="138"/>
      <c r="L24" s="137"/>
      <c r="M24" s="138"/>
      <c r="N24" s="137"/>
      <c r="O24" s="138"/>
      <c r="P24" s="137"/>
      <c r="Q24" s="138"/>
      <c r="R24" s="137"/>
    </row>
    <row r="25" spans="2:21" ht="14.25" customHeight="1" thickTop="1" thickBot="1" x14ac:dyDescent="0.25">
      <c r="B25" s="270"/>
      <c r="C25" s="1225" t="s">
        <v>28</v>
      </c>
      <c r="D25" s="1226"/>
      <c r="E25" s="1227" t="s">
        <v>29</v>
      </c>
      <c r="F25" s="1227"/>
      <c r="G25" s="1231" t="s">
        <v>89</v>
      </c>
      <c r="H25" s="1221"/>
      <c r="I25" s="1231" t="s">
        <v>99</v>
      </c>
      <c r="J25" s="1220"/>
      <c r="K25" s="1231" t="s">
        <v>101</v>
      </c>
      <c r="L25" s="1220"/>
      <c r="M25" s="1231" t="s">
        <v>106</v>
      </c>
      <c r="N25" s="1221"/>
      <c r="O25" s="1220" t="s">
        <v>155</v>
      </c>
      <c r="P25" s="1221"/>
      <c r="Q25" s="1220" t="s">
        <v>160</v>
      </c>
      <c r="R25" s="1221"/>
      <c r="T25" s="1250" t="s">
        <v>142</v>
      </c>
      <c r="U25" s="1251"/>
    </row>
    <row r="26" spans="2:21" ht="12" x14ac:dyDescent="0.2">
      <c r="B26" s="45" t="s">
        <v>7</v>
      </c>
      <c r="C26" s="57"/>
      <c r="D26" s="65"/>
      <c r="E26" s="21"/>
      <c r="F26" s="21"/>
      <c r="G26" s="229"/>
      <c r="H26" s="339"/>
      <c r="I26" s="207"/>
      <c r="J26" s="207"/>
      <c r="K26" s="229"/>
      <c r="L26" s="207"/>
      <c r="M26" s="229"/>
      <c r="N26" s="339"/>
      <c r="O26" s="207"/>
      <c r="P26" s="339"/>
      <c r="Q26" s="207"/>
      <c r="R26" s="339"/>
      <c r="T26" s="484"/>
      <c r="U26" s="607"/>
    </row>
    <row r="27" spans="2:21" ht="12" x14ac:dyDescent="0.2">
      <c r="B27" s="50" t="s">
        <v>8</v>
      </c>
      <c r="C27" s="58"/>
      <c r="D27" s="66"/>
      <c r="E27" s="20"/>
      <c r="F27" s="20"/>
      <c r="G27" s="228"/>
      <c r="H27" s="360"/>
      <c r="I27" s="208"/>
      <c r="J27" s="208"/>
      <c r="K27" s="228"/>
      <c r="L27" s="208"/>
      <c r="M27" s="228"/>
      <c r="N27" s="360"/>
      <c r="O27" s="208"/>
      <c r="P27" s="360"/>
      <c r="Q27" s="208"/>
      <c r="R27" s="360"/>
      <c r="T27" s="599"/>
      <c r="U27" s="609"/>
    </row>
    <row r="28" spans="2:21" ht="12" x14ac:dyDescent="0.2">
      <c r="B28" s="50" t="s">
        <v>9</v>
      </c>
      <c r="C28" s="58"/>
      <c r="D28" s="67">
        <v>893</v>
      </c>
      <c r="E28" s="20"/>
      <c r="F28" s="116">
        <v>994</v>
      </c>
      <c r="G28" s="228"/>
      <c r="H28" s="340">
        <v>1068</v>
      </c>
      <c r="I28" s="208"/>
      <c r="J28" s="313">
        <v>1147</v>
      </c>
      <c r="K28" s="228"/>
      <c r="L28" s="313">
        <v>1124</v>
      </c>
      <c r="M28" s="228"/>
      <c r="N28" s="340">
        <v>1132</v>
      </c>
      <c r="O28" s="208"/>
      <c r="P28" s="340">
        <v>1205</v>
      </c>
      <c r="Q28" s="208"/>
      <c r="R28" s="784"/>
      <c r="T28" s="599"/>
      <c r="U28" s="608">
        <f>AVERAGE(L28,J28,H28,N28,P28)</f>
        <v>1135.2</v>
      </c>
    </row>
    <row r="29" spans="2:21" ht="12" x14ac:dyDescent="0.2">
      <c r="B29" s="50" t="s">
        <v>10</v>
      </c>
      <c r="C29" s="58"/>
      <c r="D29" s="67">
        <f>3988+1304</f>
        <v>5292</v>
      </c>
      <c r="E29" s="20"/>
      <c r="F29" s="116">
        <v>4058</v>
      </c>
      <c r="G29" s="228"/>
      <c r="H29" s="340">
        <v>4681</v>
      </c>
      <c r="I29" s="208"/>
      <c r="J29" s="313">
        <v>5168</v>
      </c>
      <c r="K29" s="228"/>
      <c r="L29" s="313">
        <v>5445</v>
      </c>
      <c r="M29" s="228"/>
      <c r="N29" s="340">
        <v>5157</v>
      </c>
      <c r="O29" s="208"/>
      <c r="P29" s="340">
        <v>5230</v>
      </c>
      <c r="Q29" s="208"/>
      <c r="R29" s="784"/>
      <c r="T29" s="599"/>
      <c r="U29" s="608">
        <f>AVERAGE(L29,J29,H29,N29,P29)</f>
        <v>5136.2</v>
      </c>
    </row>
    <row r="30" spans="2:21" ht="12" x14ac:dyDescent="0.2">
      <c r="B30" s="50" t="s">
        <v>11</v>
      </c>
      <c r="C30" s="58"/>
      <c r="D30" s="67">
        <f>1983+339</f>
        <v>2322</v>
      </c>
      <c r="E30" s="20"/>
      <c r="F30" s="116">
        <v>1124</v>
      </c>
      <c r="G30" s="228"/>
      <c r="H30" s="340">
        <v>604</v>
      </c>
      <c r="I30" s="88"/>
      <c r="J30" s="297"/>
      <c r="K30" s="169"/>
      <c r="L30" s="297"/>
      <c r="M30" s="169"/>
      <c r="N30" s="784"/>
      <c r="O30" s="88"/>
      <c r="P30" s="784">
        <v>57</v>
      </c>
      <c r="Q30" s="88"/>
      <c r="R30" s="784"/>
      <c r="T30" s="87"/>
      <c r="U30" s="608">
        <f>AVERAGE(L30,J30,H30,N30,P30)</f>
        <v>330.5</v>
      </c>
    </row>
    <row r="31" spans="2:21" ht="12" x14ac:dyDescent="0.2">
      <c r="B31" s="50" t="s">
        <v>12</v>
      </c>
      <c r="C31" s="58"/>
      <c r="D31" s="67">
        <f>288+163</f>
        <v>451</v>
      </c>
      <c r="E31" s="20"/>
      <c r="F31" s="116">
        <v>207</v>
      </c>
      <c r="G31" s="228"/>
      <c r="H31" s="340">
        <v>216</v>
      </c>
      <c r="I31" s="88"/>
      <c r="J31" s="297"/>
      <c r="K31" s="169"/>
      <c r="L31" s="297"/>
      <c r="M31" s="169"/>
      <c r="N31" s="784"/>
      <c r="O31" s="88"/>
      <c r="P31" s="784"/>
      <c r="Q31" s="88"/>
      <c r="R31" s="784"/>
      <c r="T31" s="87"/>
      <c r="U31" s="608">
        <f>AVERAGE(L31,J31,H31,N31,P31)</f>
        <v>216</v>
      </c>
    </row>
    <row r="32" spans="2:21" thickBot="1" x14ac:dyDescent="0.25">
      <c r="B32" s="51" t="s">
        <v>13</v>
      </c>
      <c r="C32" s="139"/>
      <c r="D32" s="140">
        <f>SUM(D28:D31)</f>
        <v>8958</v>
      </c>
      <c r="E32" s="30"/>
      <c r="F32" s="54">
        <f>SUM(F28:F31)</f>
        <v>6383</v>
      </c>
      <c r="G32" s="256"/>
      <c r="H32" s="351">
        <f>SUM(H28:H31)</f>
        <v>6569</v>
      </c>
      <c r="I32" s="361"/>
      <c r="J32" s="389">
        <f>SUM(J28:J31)</f>
        <v>6315</v>
      </c>
      <c r="K32" s="256"/>
      <c r="L32" s="389">
        <f>SUM(L28:L31)</f>
        <v>6569</v>
      </c>
      <c r="M32" s="256"/>
      <c r="N32" s="389">
        <f>SUM(N28:N31)</f>
        <v>6289</v>
      </c>
      <c r="O32" s="256"/>
      <c r="P32" s="351">
        <f>SUM(P28:P31)</f>
        <v>6492</v>
      </c>
      <c r="Q32" s="361"/>
      <c r="R32" s="900">
        <f>SUM(R28:R31)</f>
        <v>0</v>
      </c>
      <c r="T32" s="600"/>
      <c r="U32" s="690">
        <f>AVERAGE(L32,J32,H32,N32,P32)</f>
        <v>6446.8</v>
      </c>
    </row>
    <row r="33" spans="1:24" ht="14.25" thickTop="1" thickBot="1" x14ac:dyDescent="0.25">
      <c r="A33" s="430"/>
      <c r="B33" s="565" t="s">
        <v>141</v>
      </c>
      <c r="C33" s="1230" t="s">
        <v>30</v>
      </c>
      <c r="D33" s="1229"/>
      <c r="E33" s="1230" t="s">
        <v>31</v>
      </c>
      <c r="F33" s="1229"/>
      <c r="G33" s="1249" t="s">
        <v>110</v>
      </c>
      <c r="H33" s="1222"/>
      <c r="I33" s="1249" t="s">
        <v>111</v>
      </c>
      <c r="J33" s="1252"/>
      <c r="K33" s="1249" t="s">
        <v>128</v>
      </c>
      <c r="L33" s="1252"/>
      <c r="M33" s="1254" t="s">
        <v>129</v>
      </c>
      <c r="N33" s="1222"/>
      <c r="O33" s="1218" t="s">
        <v>156</v>
      </c>
      <c r="P33" s="1282"/>
      <c r="Q33" s="1218" t="s">
        <v>161</v>
      </c>
      <c r="R33" s="1282"/>
      <c r="S33" s="625"/>
      <c r="T33" s="1376" t="s">
        <v>142</v>
      </c>
      <c r="U33" s="1377"/>
      <c r="V33" s="397"/>
      <c r="W33" s="397"/>
      <c r="X33" s="432"/>
    </row>
    <row r="34" spans="1:24" x14ac:dyDescent="0.2">
      <c r="A34" s="430"/>
      <c r="B34" s="566" t="s">
        <v>115</v>
      </c>
      <c r="C34" s="1380">
        <v>0.55700000000000005</v>
      </c>
      <c r="D34" s="1240"/>
      <c r="E34" s="1342">
        <v>0.5</v>
      </c>
      <c r="F34" s="1343"/>
      <c r="G34" s="1241">
        <v>0.61899999999999999</v>
      </c>
      <c r="H34" s="1242"/>
      <c r="I34" s="1241">
        <v>0.625</v>
      </c>
      <c r="J34" s="1270"/>
      <c r="K34" s="1342">
        <v>0.624</v>
      </c>
      <c r="L34" s="1343"/>
      <c r="M34" s="1382">
        <v>0.78</v>
      </c>
      <c r="N34" s="1321"/>
      <c r="O34" s="1320">
        <v>0.84599999999999997</v>
      </c>
      <c r="P34" s="1321"/>
      <c r="Q34" s="1374"/>
      <c r="R34" s="1375"/>
      <c r="S34" s="769"/>
      <c r="T34" s="570"/>
      <c r="U34" s="571">
        <f>AVERAGE(M34,K34,I34,G34,O34)</f>
        <v>0.69879999999999998</v>
      </c>
      <c r="V34" s="397"/>
      <c r="W34" s="397"/>
      <c r="X34" s="432"/>
    </row>
    <row r="35" spans="1:24" x14ac:dyDescent="0.2">
      <c r="A35" s="430"/>
      <c r="B35" s="572" t="s">
        <v>116</v>
      </c>
      <c r="C35" s="1381">
        <v>9.1999999999999998E-2</v>
      </c>
      <c r="D35" s="1248"/>
      <c r="E35" s="1340">
        <v>3.0000000000000001E-3</v>
      </c>
      <c r="F35" s="1341"/>
      <c r="G35" s="1234">
        <v>6.0000000000000001E-3</v>
      </c>
      <c r="H35" s="1235"/>
      <c r="I35" s="1234">
        <v>0</v>
      </c>
      <c r="J35" s="1273"/>
      <c r="K35" s="1340">
        <v>5.0000000000000001E-3</v>
      </c>
      <c r="L35" s="1341"/>
      <c r="M35" s="1383">
        <v>0</v>
      </c>
      <c r="N35" s="1323"/>
      <c r="O35" s="1322">
        <v>0</v>
      </c>
      <c r="P35" s="1323"/>
      <c r="Q35" s="1378"/>
      <c r="R35" s="1379"/>
      <c r="S35" s="769"/>
      <c r="T35" s="597"/>
      <c r="U35" s="571">
        <f>AVERAGE(M35,K35,I35,G35,O35)</f>
        <v>2.1999999999999997E-3</v>
      </c>
      <c r="V35" s="397"/>
      <c r="W35" s="397"/>
      <c r="X35" s="432"/>
    </row>
    <row r="36" spans="1:24" ht="13.5" customHeight="1" thickBot="1" x14ac:dyDescent="0.25">
      <c r="B36" s="575" t="s">
        <v>117</v>
      </c>
      <c r="C36" s="1238">
        <f>1-C34-C35</f>
        <v>0.35099999999999998</v>
      </c>
      <c r="D36" s="1237"/>
      <c r="E36" s="1238">
        <f>1-E34-E35</f>
        <v>0.497</v>
      </c>
      <c r="F36" s="1237"/>
      <c r="G36" s="1238">
        <f>1-G34-G35</f>
        <v>0.375</v>
      </c>
      <c r="H36" s="1237"/>
      <c r="I36" s="1238">
        <f>1-I34-I35</f>
        <v>0.375</v>
      </c>
      <c r="J36" s="1237"/>
      <c r="K36" s="1238">
        <f>1-K34-K35</f>
        <v>0.371</v>
      </c>
      <c r="L36" s="1237"/>
      <c r="M36" s="1280">
        <f>1-M34-M35</f>
        <v>0.21999999999999997</v>
      </c>
      <c r="N36" s="1224"/>
      <c r="O36" s="1280">
        <f>1-O35-O34</f>
        <v>0.15400000000000003</v>
      </c>
      <c r="P36" s="1224"/>
      <c r="Q36" s="1253"/>
      <c r="R36" s="1246"/>
      <c r="S36" s="769"/>
      <c r="T36" s="576"/>
      <c r="U36" s="636">
        <f>AVERAGE(M36,K36,I36,G36,O36)</f>
        <v>0.29900000000000004</v>
      </c>
      <c r="V36" s="397"/>
      <c r="W36" s="397"/>
      <c r="X36" s="432"/>
    </row>
    <row r="37" spans="1:24" thickTop="1" x14ac:dyDescent="0.2">
      <c r="B37" s="92"/>
      <c r="C37" s="93"/>
      <c r="D37" s="94"/>
      <c r="E37" s="93"/>
      <c r="F37" s="94"/>
      <c r="G37" s="210"/>
      <c r="H37" s="211"/>
      <c r="I37" s="210"/>
      <c r="J37" s="211"/>
      <c r="K37" s="210"/>
      <c r="L37" s="211"/>
      <c r="M37" s="210"/>
      <c r="N37" s="211"/>
      <c r="O37" s="210"/>
      <c r="P37" s="211"/>
      <c r="Q37" s="210"/>
      <c r="R37" s="211"/>
    </row>
    <row r="38" spans="1:24" x14ac:dyDescent="0.2">
      <c r="A38" s="95" t="s">
        <v>45</v>
      </c>
      <c r="B38" s="82"/>
      <c r="C38" s="22"/>
      <c r="D38" s="22"/>
      <c r="E38" s="22"/>
      <c r="F38" s="22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</row>
    <row r="39" spans="1:24" ht="13.5" thickBot="1" x14ac:dyDescent="0.25">
      <c r="A39" s="95"/>
      <c r="B39" s="82"/>
      <c r="C39" s="22"/>
      <c r="D39" s="22"/>
      <c r="E39" s="22"/>
      <c r="F39" s="22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</row>
    <row r="40" spans="1:24" ht="14.25" thickTop="1" thickBot="1" x14ac:dyDescent="0.25">
      <c r="A40" s="3"/>
      <c r="B40" s="271" t="s">
        <v>46</v>
      </c>
      <c r="C40" s="1225" t="s">
        <v>28</v>
      </c>
      <c r="D40" s="1226"/>
      <c r="E40" s="1227" t="s">
        <v>29</v>
      </c>
      <c r="F40" s="1227"/>
      <c r="G40" s="1231" t="s">
        <v>89</v>
      </c>
      <c r="H40" s="1221"/>
      <c r="I40" s="1231" t="s">
        <v>99</v>
      </c>
      <c r="J40" s="1220"/>
      <c r="K40" s="1231" t="s">
        <v>101</v>
      </c>
      <c r="L40" s="1220"/>
      <c r="M40" s="1231" t="s">
        <v>106</v>
      </c>
      <c r="N40" s="1221"/>
      <c r="O40" s="1220" t="s">
        <v>155</v>
      </c>
      <c r="P40" s="1221"/>
      <c r="Q40" s="1220" t="s">
        <v>160</v>
      </c>
      <c r="R40" s="1221"/>
      <c r="T40" s="1250" t="s">
        <v>142</v>
      </c>
      <c r="U40" s="1251"/>
    </row>
    <row r="41" spans="1:24" x14ac:dyDescent="0.2">
      <c r="A41" s="3"/>
      <c r="B41" s="276" t="s">
        <v>47</v>
      </c>
      <c r="C41" s="58"/>
      <c r="D41" s="66"/>
      <c r="E41" s="20"/>
      <c r="F41" s="20"/>
      <c r="G41" s="228"/>
      <c r="H41" s="360"/>
      <c r="I41" s="207"/>
      <c r="J41" s="207"/>
      <c r="K41" s="229"/>
      <c r="L41" s="207"/>
      <c r="M41" s="229"/>
      <c r="N41" s="339"/>
      <c r="O41" s="207"/>
      <c r="P41" s="339"/>
      <c r="Q41" s="207"/>
      <c r="R41" s="339"/>
      <c r="T41" s="484"/>
      <c r="U41" s="607"/>
    </row>
    <row r="42" spans="1:24" x14ac:dyDescent="0.2">
      <c r="A42" s="3"/>
      <c r="B42" s="273" t="s">
        <v>48</v>
      </c>
      <c r="C42" s="57"/>
      <c r="D42" s="141">
        <v>1157945</v>
      </c>
      <c r="E42" s="21"/>
      <c r="F42" s="257">
        <v>1599996</v>
      </c>
      <c r="G42" s="229"/>
      <c r="H42" s="238">
        <v>1583588</v>
      </c>
      <c r="I42" s="207"/>
      <c r="J42" s="257">
        <v>1709287</v>
      </c>
      <c r="K42" s="229"/>
      <c r="L42" s="257">
        <v>1772498</v>
      </c>
      <c r="M42" s="229"/>
      <c r="N42" s="238">
        <v>1438364</v>
      </c>
      <c r="O42" s="207"/>
      <c r="P42" s="238">
        <v>1541381</v>
      </c>
      <c r="Q42" s="932"/>
      <c r="R42" s="937"/>
      <c r="T42" s="599"/>
      <c r="U42" s="631">
        <f>AVERAGE(P42,N42,L42,J42,H42)</f>
        <v>1609023.6</v>
      </c>
    </row>
    <row r="43" spans="1:24" ht="36" x14ac:dyDescent="0.2">
      <c r="A43" s="3"/>
      <c r="B43" s="274" t="s">
        <v>58</v>
      </c>
      <c r="C43" s="58"/>
      <c r="D43" s="142">
        <v>105992</v>
      </c>
      <c r="E43" s="20"/>
      <c r="F43" s="258">
        <v>231611</v>
      </c>
      <c r="G43" s="228"/>
      <c r="H43" s="239">
        <v>274192</v>
      </c>
      <c r="I43" s="208"/>
      <c r="J43" s="258">
        <v>231052</v>
      </c>
      <c r="K43" s="228"/>
      <c r="L43" s="258">
        <v>245287</v>
      </c>
      <c r="M43" s="228"/>
      <c r="N43" s="239">
        <v>186363</v>
      </c>
      <c r="O43" s="208"/>
      <c r="P43" s="239">
        <v>224487</v>
      </c>
      <c r="Q43" s="88"/>
      <c r="R43" s="938"/>
      <c r="T43" s="599"/>
      <c r="U43" s="631">
        <f>AVERAGE(P43,N43,L43,J43,H43)</f>
        <v>232276.2</v>
      </c>
    </row>
    <row r="44" spans="1:24" x14ac:dyDescent="0.2">
      <c r="A44" s="3"/>
      <c r="B44" s="275" t="s">
        <v>49</v>
      </c>
      <c r="C44" s="143"/>
      <c r="D44" s="144">
        <f>SUM(D42:D43)</f>
        <v>1263937</v>
      </c>
      <c r="E44" s="96"/>
      <c r="F44" s="259">
        <f>SUM(F42:F43)</f>
        <v>1831607</v>
      </c>
      <c r="G44" s="230"/>
      <c r="H44" s="240">
        <f>SUM(H42:H43)</f>
        <v>1857780</v>
      </c>
      <c r="I44" s="212"/>
      <c r="J44" s="259">
        <f>SUM(J42:J43)</f>
        <v>1940339</v>
      </c>
      <c r="K44" s="230"/>
      <c r="L44" s="259">
        <f>SUM(L42:L43)</f>
        <v>2017785</v>
      </c>
      <c r="M44" s="230"/>
      <c r="N44" s="240">
        <f>SUM(N42:N43)</f>
        <v>1624727</v>
      </c>
      <c r="O44" s="212"/>
      <c r="P44" s="240">
        <f>SUM(P42:P43)</f>
        <v>1765868</v>
      </c>
      <c r="Q44" s="939"/>
      <c r="R44" s="940">
        <f>SUM(R42:R43)</f>
        <v>0</v>
      </c>
      <c r="T44" s="599"/>
      <c r="U44" s="719">
        <f>AVERAGE(P44,N44,L44,J44,H44)</f>
        <v>1841299.8</v>
      </c>
    </row>
    <row r="45" spans="1:24" x14ac:dyDescent="0.2">
      <c r="A45" s="3"/>
      <c r="B45" s="276" t="s">
        <v>50</v>
      </c>
      <c r="C45" s="58"/>
      <c r="D45" s="142"/>
      <c r="E45" s="20"/>
      <c r="F45" s="159"/>
      <c r="G45" s="228"/>
      <c r="H45" s="239"/>
      <c r="I45" s="208"/>
      <c r="J45" s="258"/>
      <c r="K45" s="228"/>
      <c r="L45" s="258"/>
      <c r="M45" s="228"/>
      <c r="N45" s="239"/>
      <c r="O45" s="208"/>
      <c r="P45" s="239"/>
      <c r="Q45" s="88"/>
      <c r="R45" s="938"/>
      <c r="T45" s="599"/>
      <c r="U45" s="608"/>
    </row>
    <row r="46" spans="1:24" x14ac:dyDescent="0.2">
      <c r="A46" s="3"/>
      <c r="B46" s="273" t="s">
        <v>48</v>
      </c>
      <c r="C46" s="58"/>
      <c r="D46" s="142"/>
      <c r="E46" s="20"/>
      <c r="F46" s="159"/>
      <c r="G46" s="228"/>
      <c r="H46" s="239"/>
      <c r="I46" s="208"/>
      <c r="J46" s="258"/>
      <c r="K46" s="228"/>
      <c r="L46" s="258"/>
      <c r="M46" s="228"/>
      <c r="N46" s="239"/>
      <c r="O46" s="208"/>
      <c r="P46" s="239"/>
      <c r="Q46" s="88"/>
      <c r="R46" s="938"/>
      <c r="T46" s="599"/>
      <c r="U46" s="608"/>
    </row>
    <row r="47" spans="1:24" ht="36" x14ac:dyDescent="0.2">
      <c r="A47" s="3"/>
      <c r="B47" s="274" t="s">
        <v>58</v>
      </c>
      <c r="C47" s="58"/>
      <c r="D47" s="142"/>
      <c r="E47" s="20"/>
      <c r="F47" s="159"/>
      <c r="G47" s="228"/>
      <c r="H47" s="239"/>
      <c r="I47" s="208"/>
      <c r="J47" s="258"/>
      <c r="K47" s="228"/>
      <c r="L47" s="258"/>
      <c r="M47" s="228"/>
      <c r="N47" s="239"/>
      <c r="O47" s="208"/>
      <c r="P47" s="239"/>
      <c r="Q47" s="88"/>
      <c r="R47" s="938"/>
      <c r="T47" s="599"/>
      <c r="U47" s="608"/>
    </row>
    <row r="48" spans="1:24" x14ac:dyDescent="0.2">
      <c r="A48" s="3"/>
      <c r="B48" s="275" t="s">
        <v>51</v>
      </c>
      <c r="C48" s="143"/>
      <c r="D48" s="144">
        <f>SUM(D46:D47)</f>
        <v>0</v>
      </c>
      <c r="E48" s="96"/>
      <c r="F48" s="160">
        <f>SUM(F46:F47)</f>
        <v>0</v>
      </c>
      <c r="G48" s="230"/>
      <c r="H48" s="240">
        <f>SUM(H46:H47)</f>
        <v>0</v>
      </c>
      <c r="I48" s="212"/>
      <c r="J48" s="259">
        <f>SUM(J46:J47)</f>
        <v>0</v>
      </c>
      <c r="K48" s="230"/>
      <c r="L48" s="259">
        <f>SUM(L46:L47)</f>
        <v>0</v>
      </c>
      <c r="M48" s="230"/>
      <c r="N48" s="240">
        <f>SUM(N46:N47)</f>
        <v>0</v>
      </c>
      <c r="O48" s="212"/>
      <c r="P48" s="240">
        <f>SUM(P46:P47)</f>
        <v>0</v>
      </c>
      <c r="Q48" s="939"/>
      <c r="R48" s="940">
        <f>SUM(R46:R47)</f>
        <v>0</v>
      </c>
      <c r="T48" s="599"/>
      <c r="U48" s="608">
        <f>AVERAGE(P48,N48,L48,J48,H48)</f>
        <v>0</v>
      </c>
    </row>
    <row r="49" spans="1:21" ht="13.5" thickBot="1" x14ac:dyDescent="0.25">
      <c r="A49" s="3"/>
      <c r="B49" s="277" t="s">
        <v>52</v>
      </c>
      <c r="C49" s="58"/>
      <c r="D49" s="144">
        <f>SUM(D44,D48)</f>
        <v>1263937</v>
      </c>
      <c r="E49" s="20"/>
      <c r="F49" s="160">
        <f>SUM(F44,F48)</f>
        <v>1831607</v>
      </c>
      <c r="G49" s="228"/>
      <c r="H49" s="240">
        <f>SUM(H44,H48)</f>
        <v>1857780</v>
      </c>
      <c r="I49" s="208"/>
      <c r="J49" s="259">
        <f>SUM(J44,J48)</f>
        <v>1940339</v>
      </c>
      <c r="K49" s="228"/>
      <c r="L49" s="259">
        <f>SUM(L44,L48)</f>
        <v>2017785</v>
      </c>
      <c r="M49" s="228"/>
      <c r="N49" s="240">
        <f>SUM(N44,N48)</f>
        <v>1624727</v>
      </c>
      <c r="O49" s="208"/>
      <c r="P49" s="240">
        <f>SUM(P44,P48)</f>
        <v>1765868</v>
      </c>
      <c r="Q49" s="88"/>
      <c r="R49" s="940">
        <f>SUM(R44,R48)</f>
        <v>0</v>
      </c>
      <c r="T49" s="601"/>
      <c r="U49" s="655">
        <f>AVERAGE(P49,N49,L49,J49,H49)</f>
        <v>1841299.8</v>
      </c>
    </row>
    <row r="50" spans="1:21" ht="12" x14ac:dyDescent="0.2">
      <c r="B50" s="278" t="s">
        <v>53</v>
      </c>
      <c r="C50" s="145"/>
      <c r="D50" s="146"/>
      <c r="E50" s="98"/>
      <c r="F50" s="98"/>
      <c r="G50" s="231"/>
      <c r="H50" s="344"/>
      <c r="I50" s="213"/>
      <c r="J50" s="213"/>
      <c r="K50" s="231"/>
      <c r="L50" s="213"/>
      <c r="M50" s="231"/>
      <c r="N50" s="344"/>
      <c r="O50" s="213"/>
      <c r="P50" s="344"/>
      <c r="Q50" s="941"/>
      <c r="R50" s="942"/>
      <c r="T50" s="484"/>
      <c r="U50" s="607"/>
    </row>
    <row r="51" spans="1:21" ht="12" x14ac:dyDescent="0.2">
      <c r="B51" s="50" t="s">
        <v>14</v>
      </c>
      <c r="C51" s="147"/>
      <c r="D51" s="68">
        <f>121517+1163869</f>
        <v>1285386</v>
      </c>
      <c r="E51" s="31"/>
      <c r="F51" s="315">
        <v>1747864</v>
      </c>
      <c r="G51" s="232"/>
      <c r="H51" s="316">
        <v>1966338</v>
      </c>
      <c r="I51" s="214"/>
      <c r="J51" s="314">
        <v>2427875.7799999998</v>
      </c>
      <c r="K51" s="232"/>
      <c r="L51" s="314">
        <f>1767942+400125</f>
        <v>2168067</v>
      </c>
      <c r="M51" s="232"/>
      <c r="N51" s="831">
        <v>2279952</v>
      </c>
      <c r="O51" s="214"/>
      <c r="P51" s="316">
        <v>2104855</v>
      </c>
      <c r="Q51" s="943"/>
      <c r="R51" s="944"/>
      <c r="T51" s="599"/>
      <c r="U51" s="606">
        <f>AVERAGE(N51,P51,L51,J51,H51)</f>
        <v>2189417.5559999999</v>
      </c>
    </row>
    <row r="52" spans="1:21" thickBot="1" x14ac:dyDescent="0.25">
      <c r="B52" s="279" t="s">
        <v>15</v>
      </c>
      <c r="C52" s="148"/>
      <c r="D52" s="69">
        <v>0</v>
      </c>
      <c r="E52" s="32"/>
      <c r="F52" s="317">
        <v>0</v>
      </c>
      <c r="G52" s="233"/>
      <c r="H52" s="318"/>
      <c r="I52" s="215"/>
      <c r="J52" s="317"/>
      <c r="K52" s="233"/>
      <c r="L52" s="317"/>
      <c r="M52" s="233"/>
      <c r="N52" s="832"/>
      <c r="O52" s="215"/>
      <c r="P52" s="318"/>
      <c r="Q52" s="758"/>
      <c r="R52" s="945"/>
      <c r="T52" s="601"/>
      <c r="U52" s="603"/>
    </row>
    <row r="53" spans="1:21" ht="12" x14ac:dyDescent="0.2">
      <c r="B53" s="49"/>
      <c r="C53" s="149" t="s">
        <v>82</v>
      </c>
      <c r="D53" s="150" t="s">
        <v>88</v>
      </c>
      <c r="E53" s="85" t="s">
        <v>82</v>
      </c>
      <c r="F53" s="161" t="s">
        <v>88</v>
      </c>
      <c r="G53" s="234" t="s">
        <v>82</v>
      </c>
      <c r="H53" s="345" t="s">
        <v>88</v>
      </c>
      <c r="I53" s="216" t="s">
        <v>82</v>
      </c>
      <c r="J53" s="359" t="s">
        <v>88</v>
      </c>
      <c r="K53" s="234" t="s">
        <v>82</v>
      </c>
      <c r="L53" s="359" t="s">
        <v>88</v>
      </c>
      <c r="M53" s="234" t="s">
        <v>82</v>
      </c>
      <c r="N53" s="345" t="s">
        <v>88</v>
      </c>
      <c r="O53" s="216" t="s">
        <v>82</v>
      </c>
      <c r="P53" s="345" t="s">
        <v>88</v>
      </c>
      <c r="Q53" s="946" t="s">
        <v>82</v>
      </c>
      <c r="R53" s="947" t="s">
        <v>88</v>
      </c>
      <c r="T53" s="234" t="s">
        <v>82</v>
      </c>
      <c r="U53" s="217" t="s">
        <v>88</v>
      </c>
    </row>
    <row r="54" spans="1:21" ht="11.45" customHeight="1" x14ac:dyDescent="0.2">
      <c r="B54" s="52" t="s">
        <v>37</v>
      </c>
      <c r="C54" s="452">
        <v>1</v>
      </c>
      <c r="D54" s="409">
        <v>137430</v>
      </c>
      <c r="E54" s="455">
        <v>4</v>
      </c>
      <c r="F54" s="418">
        <v>16758</v>
      </c>
      <c r="G54" s="466">
        <v>3</v>
      </c>
      <c r="H54" s="412">
        <v>158751</v>
      </c>
      <c r="I54" s="458">
        <v>2</v>
      </c>
      <c r="J54" s="412">
        <v>37513</v>
      </c>
      <c r="K54" s="458">
        <v>3</v>
      </c>
      <c r="L54" s="414">
        <v>7500</v>
      </c>
      <c r="M54" s="815">
        <v>3</v>
      </c>
      <c r="N54" s="412">
        <v>699355</v>
      </c>
      <c r="O54" s="815">
        <v>1</v>
      </c>
      <c r="P54" s="412">
        <v>48798</v>
      </c>
      <c r="Q54" s="759"/>
      <c r="R54" s="897"/>
      <c r="T54" s="703">
        <f>AVERAGE(M54,O54,K54,I54,G54)</f>
        <v>2.4</v>
      </c>
      <c r="U54" s="606">
        <f>AVERAGE(N54,P54,L54,J54,H54)</f>
        <v>190383.4</v>
      </c>
    </row>
    <row r="55" spans="1:21" ht="11.45" customHeight="1" x14ac:dyDescent="0.2">
      <c r="B55" s="52"/>
      <c r="C55" s="453"/>
      <c r="D55" s="152"/>
      <c r="E55" s="456"/>
      <c r="F55" s="200"/>
      <c r="G55" s="467"/>
      <c r="H55" s="347"/>
      <c r="I55" s="459"/>
      <c r="J55" s="347"/>
      <c r="K55" s="459"/>
      <c r="L55" s="380"/>
      <c r="M55" s="468"/>
      <c r="N55" s="823"/>
      <c r="O55" s="468"/>
      <c r="P55" s="823"/>
      <c r="Q55" s="760"/>
      <c r="R55" s="898"/>
      <c r="T55" s="702"/>
      <c r="U55" s="606"/>
    </row>
    <row r="56" spans="1:21" thickBot="1" x14ac:dyDescent="0.25">
      <c r="B56" s="485" t="s">
        <v>16</v>
      </c>
      <c r="C56" s="454">
        <v>1</v>
      </c>
      <c r="D56" s="162">
        <v>70604</v>
      </c>
      <c r="E56" s="457">
        <v>3</v>
      </c>
      <c r="F56" s="706">
        <v>260294</v>
      </c>
      <c r="G56" s="473">
        <v>2</v>
      </c>
      <c r="H56" s="413">
        <v>156026</v>
      </c>
      <c r="I56" s="460">
        <v>4</v>
      </c>
      <c r="J56" s="413">
        <v>70604</v>
      </c>
      <c r="K56" s="460">
        <v>1</v>
      </c>
      <c r="L56" s="415">
        <v>70604</v>
      </c>
      <c r="M56" s="473">
        <v>0</v>
      </c>
      <c r="N56" s="824">
        <v>0</v>
      </c>
      <c r="O56" s="473">
        <v>1</v>
      </c>
      <c r="P56" s="509">
        <v>30984</v>
      </c>
      <c r="Q56" s="758"/>
      <c r="R56" s="899"/>
      <c r="T56" s="703">
        <f>AVERAGE(M56,O56,K56,I56,G56)</f>
        <v>1.6</v>
      </c>
      <c r="U56" s="606">
        <f>AVERAGE(N56,P56,L56,J56,H56)</f>
        <v>65643.600000000006</v>
      </c>
    </row>
    <row r="57" spans="1:21" ht="12" x14ac:dyDescent="0.2">
      <c r="B57" s="278" t="s">
        <v>59</v>
      </c>
      <c r="C57" s="153"/>
      <c r="D57" s="163"/>
      <c r="E57" s="104"/>
      <c r="F57" s="260"/>
      <c r="G57" s="261"/>
      <c r="H57" s="348"/>
      <c r="I57" s="219"/>
      <c r="J57" s="381"/>
      <c r="K57" s="261"/>
      <c r="L57" s="381"/>
      <c r="M57" s="261"/>
      <c r="N57" s="348"/>
      <c r="O57" s="219"/>
      <c r="P57" s="348"/>
      <c r="Q57" s="948"/>
      <c r="R57" s="949"/>
      <c r="T57" s="484"/>
      <c r="U57" s="604"/>
    </row>
    <row r="58" spans="1:21" ht="12" x14ac:dyDescent="0.2">
      <c r="B58" s="280" t="s">
        <v>60</v>
      </c>
      <c r="C58" s="154"/>
      <c r="D58" s="164"/>
      <c r="E58" s="83"/>
      <c r="F58" s="38"/>
      <c r="G58" s="262"/>
      <c r="H58" s="349"/>
      <c r="I58" s="220"/>
      <c r="J58" s="137"/>
      <c r="K58" s="262"/>
      <c r="L58" s="137"/>
      <c r="M58" s="262"/>
      <c r="N58" s="349"/>
      <c r="O58" s="220"/>
      <c r="P58" s="349"/>
      <c r="Q58" s="950"/>
      <c r="R58" s="951"/>
      <c r="T58" s="599"/>
      <c r="U58" s="606"/>
    </row>
    <row r="59" spans="1:21" ht="12" x14ac:dyDescent="0.2">
      <c r="B59" s="486" t="s">
        <v>61</v>
      </c>
      <c r="C59" s="155"/>
      <c r="D59" s="165">
        <v>1125</v>
      </c>
      <c r="E59" s="33"/>
      <c r="F59" s="309">
        <v>4840</v>
      </c>
      <c r="G59" s="263"/>
      <c r="H59" s="828">
        <v>2025</v>
      </c>
      <c r="I59" s="364"/>
      <c r="J59" s="450">
        <v>64437.5</v>
      </c>
      <c r="K59" s="398"/>
      <c r="L59" s="829">
        <v>23995</v>
      </c>
      <c r="M59" s="398"/>
      <c r="N59" s="828">
        <v>12150</v>
      </c>
      <c r="O59" s="364"/>
      <c r="P59" s="828">
        <v>6621</v>
      </c>
      <c r="Q59" s="952"/>
      <c r="R59" s="996"/>
      <c r="T59" s="599"/>
      <c r="U59" s="606">
        <f>AVERAGE(P59,N59,L59,J59,H59,F59)</f>
        <v>19011.416666666668</v>
      </c>
    </row>
    <row r="60" spans="1:21" thickBot="1" x14ac:dyDescent="0.25">
      <c r="B60" s="487" t="s">
        <v>62</v>
      </c>
      <c r="C60" s="157"/>
      <c r="D60" s="166">
        <v>0</v>
      </c>
      <c r="E60" s="34"/>
      <c r="F60" s="306">
        <v>0</v>
      </c>
      <c r="G60" s="264"/>
      <c r="H60" s="449">
        <v>0</v>
      </c>
      <c r="I60" s="445"/>
      <c r="J60" s="446">
        <v>0</v>
      </c>
      <c r="K60" s="447"/>
      <c r="L60" s="446">
        <v>0</v>
      </c>
      <c r="M60" s="447"/>
      <c r="N60" s="449">
        <v>0</v>
      </c>
      <c r="O60" s="445"/>
      <c r="P60" s="449">
        <v>0</v>
      </c>
      <c r="Q60" s="954"/>
      <c r="R60" s="955"/>
      <c r="T60" s="600"/>
      <c r="U60" s="635">
        <f>AVERAGE(P60,N60,L60,J60,H60,F60)</f>
        <v>0</v>
      </c>
    </row>
    <row r="61" spans="1:21" thickTop="1" x14ac:dyDescent="0.2">
      <c r="B61" s="82"/>
      <c r="C61" s="83"/>
      <c r="D61" s="84"/>
      <c r="E61" s="83"/>
      <c r="F61" s="85"/>
      <c r="G61" s="220"/>
      <c r="H61" s="216"/>
      <c r="I61" s="220"/>
      <c r="J61" s="216"/>
      <c r="K61" s="220"/>
      <c r="L61" s="216"/>
      <c r="M61" s="220"/>
      <c r="N61" s="216"/>
      <c r="O61" s="220"/>
      <c r="P61" s="216"/>
      <c r="Q61" s="220"/>
      <c r="R61" s="216"/>
    </row>
    <row r="62" spans="1:21" x14ac:dyDescent="0.2">
      <c r="A62" s="3" t="s">
        <v>55</v>
      </c>
      <c r="B62" s="82"/>
      <c r="C62" s="83"/>
      <c r="D62" s="84"/>
      <c r="E62" s="83"/>
      <c r="F62" s="85"/>
      <c r="G62" s="220"/>
      <c r="H62" s="216"/>
      <c r="I62" s="220"/>
      <c r="J62" s="216"/>
      <c r="K62" s="220"/>
      <c r="L62" s="216"/>
      <c r="M62" s="220"/>
      <c r="N62" s="216"/>
      <c r="O62" s="220"/>
      <c r="P62" s="216"/>
      <c r="Q62" s="220"/>
      <c r="R62" s="216"/>
    </row>
    <row r="63" spans="1:21" thickBot="1" x14ac:dyDescent="0.25">
      <c r="B63" s="82"/>
      <c r="C63" s="83"/>
      <c r="D63" s="84"/>
      <c r="E63" s="83"/>
      <c r="F63" s="85"/>
      <c r="G63" s="220"/>
      <c r="H63" s="216"/>
      <c r="I63" s="220"/>
      <c r="J63" s="216"/>
      <c r="K63" s="220"/>
      <c r="L63" s="216"/>
      <c r="M63" s="220"/>
      <c r="N63" s="216"/>
      <c r="O63" s="220"/>
      <c r="P63" s="216"/>
      <c r="Q63" s="220"/>
      <c r="R63" s="216"/>
    </row>
    <row r="64" spans="1:21" ht="14.25" customHeight="1" thickTop="1" thickBot="1" x14ac:dyDescent="0.25">
      <c r="B64" s="270"/>
      <c r="C64" s="1225" t="s">
        <v>28</v>
      </c>
      <c r="D64" s="1226"/>
      <c r="E64" s="1227" t="s">
        <v>29</v>
      </c>
      <c r="F64" s="1227"/>
      <c r="G64" s="1231" t="s">
        <v>89</v>
      </c>
      <c r="H64" s="1221"/>
      <c r="I64" s="1231" t="s">
        <v>99</v>
      </c>
      <c r="J64" s="1220"/>
      <c r="K64" s="1231" t="s">
        <v>101</v>
      </c>
      <c r="L64" s="1220"/>
      <c r="M64" s="1231" t="s">
        <v>106</v>
      </c>
      <c r="N64" s="1221"/>
      <c r="O64" s="1231" t="s">
        <v>155</v>
      </c>
      <c r="P64" s="1221"/>
      <c r="Q64" s="1231" t="s">
        <v>160</v>
      </c>
      <c r="R64" s="1221"/>
      <c r="T64" s="1250" t="s">
        <v>142</v>
      </c>
      <c r="U64" s="1251"/>
    </row>
    <row r="65" spans="2:21" ht="12" x14ac:dyDescent="0.2">
      <c r="B65" s="45" t="s">
        <v>33</v>
      </c>
      <c r="C65" s="57"/>
      <c r="D65" s="65"/>
      <c r="E65" s="21"/>
      <c r="F65" s="21"/>
      <c r="G65" s="229"/>
      <c r="H65" s="339"/>
      <c r="I65" s="207"/>
      <c r="J65" s="207"/>
      <c r="K65" s="229"/>
      <c r="L65" s="207"/>
      <c r="M65" s="229"/>
      <c r="N65" s="339"/>
      <c r="O65" s="229"/>
      <c r="P65" s="339"/>
      <c r="Q65" s="229"/>
      <c r="R65" s="339"/>
      <c r="T65" s="484"/>
      <c r="U65" s="607"/>
    </row>
    <row r="66" spans="2:21" ht="12" x14ac:dyDescent="0.2">
      <c r="B66" s="46" t="s">
        <v>34</v>
      </c>
      <c r="C66" s="58"/>
      <c r="D66" s="168"/>
      <c r="E66" s="20"/>
      <c r="F66" s="116"/>
      <c r="G66" s="228"/>
      <c r="H66" s="340"/>
      <c r="I66" s="208"/>
      <c r="J66" s="313"/>
      <c r="K66" s="228"/>
      <c r="L66" s="313"/>
      <c r="M66" s="228"/>
      <c r="N66" s="340"/>
      <c r="O66" s="228"/>
      <c r="P66" s="340"/>
      <c r="Q66" s="228"/>
      <c r="R66" s="340"/>
      <c r="T66" s="599"/>
      <c r="U66" s="609"/>
    </row>
    <row r="67" spans="2:21" ht="12" x14ac:dyDescent="0.2">
      <c r="B67" s="47" t="s">
        <v>35</v>
      </c>
      <c r="C67" s="58"/>
      <c r="D67" s="168">
        <v>13</v>
      </c>
      <c r="E67" s="20"/>
      <c r="F67" s="116">
        <v>18</v>
      </c>
      <c r="G67" s="228"/>
      <c r="H67" s="340">
        <v>16</v>
      </c>
      <c r="I67" s="208"/>
      <c r="J67" s="313">
        <v>17</v>
      </c>
      <c r="K67" s="228"/>
      <c r="L67" s="313">
        <v>16</v>
      </c>
      <c r="M67" s="228"/>
      <c r="N67" s="340">
        <v>11</v>
      </c>
      <c r="O67" s="228"/>
      <c r="P67" s="340">
        <v>12</v>
      </c>
      <c r="Q67" s="169"/>
      <c r="R67" s="784"/>
      <c r="T67" s="599"/>
      <c r="U67" s="608">
        <f>AVERAGE(P67,N67,L67,J67,H67)</f>
        <v>14.4</v>
      </c>
    </row>
    <row r="68" spans="2:21" ht="12" x14ac:dyDescent="0.2">
      <c r="B68" s="47" t="s">
        <v>139</v>
      </c>
      <c r="C68" s="58"/>
      <c r="D68" s="168">
        <v>2</v>
      </c>
      <c r="E68" s="20"/>
      <c r="F68" s="116">
        <v>9</v>
      </c>
      <c r="G68" s="228"/>
      <c r="H68" s="340">
        <v>11</v>
      </c>
      <c r="I68" s="208"/>
      <c r="J68" s="313">
        <v>12</v>
      </c>
      <c r="K68" s="228"/>
      <c r="L68" s="313">
        <v>13</v>
      </c>
      <c r="M68" s="228"/>
      <c r="N68" s="340">
        <v>14</v>
      </c>
      <c r="O68" s="228"/>
      <c r="P68" s="340">
        <v>12</v>
      </c>
      <c r="Q68" s="169"/>
      <c r="R68" s="784"/>
      <c r="T68" s="599"/>
      <c r="U68" s="608">
        <f>AVERAGE(P68,N68,L68,J68,H68)</f>
        <v>12.4</v>
      </c>
    </row>
    <row r="69" spans="2:21" ht="12" x14ac:dyDescent="0.2">
      <c r="B69" s="46" t="s">
        <v>36</v>
      </c>
      <c r="C69" s="58"/>
      <c r="D69" s="67"/>
      <c r="E69" s="20"/>
      <c r="F69" s="53"/>
      <c r="G69" s="228"/>
      <c r="H69" s="341"/>
      <c r="I69" s="208"/>
      <c r="J69" s="384"/>
      <c r="K69" s="228"/>
      <c r="L69" s="384"/>
      <c r="M69" s="228"/>
      <c r="N69" s="341"/>
      <c r="O69" s="228"/>
      <c r="P69" s="341"/>
      <c r="Q69" s="169"/>
      <c r="R69" s="905"/>
      <c r="T69" s="599"/>
      <c r="U69" s="608"/>
    </row>
    <row r="70" spans="2:21" ht="12" x14ac:dyDescent="0.2">
      <c r="B70" s="47" t="s">
        <v>35</v>
      </c>
      <c r="C70" s="58"/>
      <c r="D70" s="67">
        <v>0</v>
      </c>
      <c r="E70" s="20"/>
      <c r="F70" s="53">
        <v>1</v>
      </c>
      <c r="G70" s="228"/>
      <c r="H70" s="341">
        <v>1</v>
      </c>
      <c r="I70" s="208"/>
      <c r="J70" s="384">
        <v>1</v>
      </c>
      <c r="K70" s="228"/>
      <c r="L70" s="384">
        <v>0</v>
      </c>
      <c r="M70" s="228"/>
      <c r="N70" s="341">
        <v>0</v>
      </c>
      <c r="O70" s="228"/>
      <c r="P70" s="341">
        <v>0</v>
      </c>
      <c r="Q70" s="169"/>
      <c r="R70" s="905"/>
      <c r="T70" s="599"/>
      <c r="U70" s="608">
        <f>AVERAGE(P70,N70,L70,J70,H70)</f>
        <v>0.4</v>
      </c>
    </row>
    <row r="71" spans="2:21" ht="12" x14ac:dyDescent="0.2">
      <c r="B71" s="283" t="s">
        <v>139</v>
      </c>
      <c r="C71" s="58"/>
      <c r="D71" s="67">
        <v>0</v>
      </c>
      <c r="E71" s="20"/>
      <c r="F71" s="53">
        <v>2</v>
      </c>
      <c r="G71" s="228"/>
      <c r="H71" s="341">
        <v>1</v>
      </c>
      <c r="I71" s="208"/>
      <c r="J71" s="384">
        <v>2</v>
      </c>
      <c r="K71" s="228"/>
      <c r="L71" s="384">
        <v>3</v>
      </c>
      <c r="M71" s="228"/>
      <c r="N71" s="341">
        <v>1</v>
      </c>
      <c r="O71" s="228"/>
      <c r="P71" s="341">
        <v>0</v>
      </c>
      <c r="Q71" s="169"/>
      <c r="R71" s="905"/>
      <c r="T71" s="599"/>
      <c r="U71" s="608">
        <f>AVERAGE(P71,N71,L71,J71,H71)</f>
        <v>1.4</v>
      </c>
    </row>
    <row r="72" spans="2:21" thickBot="1" x14ac:dyDescent="0.25">
      <c r="B72" s="51" t="s">
        <v>13</v>
      </c>
      <c r="C72" s="170"/>
      <c r="D72" s="183">
        <f>SUM(D67:D71)</f>
        <v>15</v>
      </c>
      <c r="E72" s="89"/>
      <c r="F72" s="307">
        <f>SUM(F67:F71)</f>
        <v>30</v>
      </c>
      <c r="G72" s="301"/>
      <c r="H72" s="342">
        <v>29</v>
      </c>
      <c r="I72" s="223"/>
      <c r="J72" s="307">
        <f>SUM(J67:J71)</f>
        <v>32</v>
      </c>
      <c r="K72" s="301"/>
      <c r="L72" s="307">
        <f>SUM(L67:L71)</f>
        <v>32</v>
      </c>
      <c r="M72" s="301"/>
      <c r="N72" s="342">
        <f>SUM(N67:N71)</f>
        <v>26</v>
      </c>
      <c r="O72" s="301"/>
      <c r="P72" s="342">
        <f>SUM(P67:P71)</f>
        <v>24</v>
      </c>
      <c r="Q72" s="998"/>
      <c r="R72" s="906">
        <f>SUM(R67:R71)</f>
        <v>0</v>
      </c>
      <c r="T72" s="600"/>
      <c r="U72" s="690">
        <f>AVERAGE(P72,N72,L72,J72,H72)</f>
        <v>28.6</v>
      </c>
    </row>
    <row r="73" spans="2:21" thickTop="1" x14ac:dyDescent="0.2">
      <c r="B73" s="524" t="s">
        <v>84</v>
      </c>
      <c r="C73" s="56" t="s">
        <v>82</v>
      </c>
      <c r="D73" s="171" t="s">
        <v>83</v>
      </c>
      <c r="E73" s="56" t="s">
        <v>82</v>
      </c>
      <c r="F73" s="171" t="s">
        <v>83</v>
      </c>
      <c r="G73" s="56" t="s">
        <v>82</v>
      </c>
      <c r="H73" s="171" t="s">
        <v>83</v>
      </c>
      <c r="I73" s="56" t="s">
        <v>82</v>
      </c>
      <c r="J73" s="171" t="s">
        <v>83</v>
      </c>
      <c r="K73" s="56" t="s">
        <v>82</v>
      </c>
      <c r="L73" s="171" t="s">
        <v>83</v>
      </c>
      <c r="M73" s="56" t="s">
        <v>82</v>
      </c>
      <c r="N73" s="171" t="s">
        <v>83</v>
      </c>
      <c r="O73" s="56" t="s">
        <v>82</v>
      </c>
      <c r="P73" s="892" t="s">
        <v>83</v>
      </c>
      <c r="Q73" s="56" t="s">
        <v>82</v>
      </c>
      <c r="R73" s="892" t="s">
        <v>83</v>
      </c>
      <c r="T73" s="484"/>
      <c r="U73" s="607"/>
    </row>
    <row r="74" spans="2:21" ht="12" x14ac:dyDescent="0.2">
      <c r="B74" s="47" t="s">
        <v>66</v>
      </c>
      <c r="C74" s="172">
        <v>14</v>
      </c>
      <c r="D74" s="173">
        <f>C74/D$72</f>
        <v>0.93333333333333335</v>
      </c>
      <c r="E74" s="114">
        <v>27</v>
      </c>
      <c r="F74" s="179">
        <f t="shared" ref="F74:H80" si="2">E74/F$72</f>
        <v>0.9</v>
      </c>
      <c r="G74" s="172">
        <v>26</v>
      </c>
      <c r="H74" s="190">
        <f t="shared" si="2"/>
        <v>0.89655172413793105</v>
      </c>
      <c r="I74" s="114">
        <v>29</v>
      </c>
      <c r="J74" s="179">
        <f t="shared" ref="J74:L80" si="3">I74/J$72</f>
        <v>0.90625</v>
      </c>
      <c r="K74" s="172">
        <v>29</v>
      </c>
      <c r="L74" s="179">
        <f t="shared" si="3"/>
        <v>0.90625</v>
      </c>
      <c r="M74" s="172">
        <v>24</v>
      </c>
      <c r="N74" s="190">
        <f t="shared" ref="N74:P80" si="4">M74/N$72</f>
        <v>0.92307692307692313</v>
      </c>
      <c r="O74" s="172">
        <v>22</v>
      </c>
      <c r="P74" s="190">
        <f t="shared" si="4"/>
        <v>0.91666666666666663</v>
      </c>
      <c r="Q74" s="1002"/>
      <c r="R74" s="908" t="e">
        <f t="shared" ref="R74:R80" si="5">Q74/R$72</f>
        <v>#DIV/0!</v>
      </c>
      <c r="T74" s="599">
        <f>AVERAGE(O74,M74,K74,I74,G74)</f>
        <v>26</v>
      </c>
      <c r="U74" s="621">
        <f>AVERAGE(P74,N74,L74,J74,H74)</f>
        <v>0.90975906277630414</v>
      </c>
    </row>
    <row r="75" spans="2:21" ht="12" x14ac:dyDescent="0.2">
      <c r="B75" s="70" t="s">
        <v>67</v>
      </c>
      <c r="C75" s="172">
        <v>1</v>
      </c>
      <c r="D75" s="173">
        <f t="shared" ref="D75:D92" si="6">C75/$D$72</f>
        <v>6.6666666666666666E-2</v>
      </c>
      <c r="E75" s="114">
        <v>2</v>
      </c>
      <c r="F75" s="179">
        <f t="shared" si="2"/>
        <v>6.6666666666666666E-2</v>
      </c>
      <c r="G75" s="172">
        <v>2</v>
      </c>
      <c r="H75" s="190">
        <f t="shared" si="2"/>
        <v>6.8965517241379309E-2</v>
      </c>
      <c r="I75" s="114">
        <v>2</v>
      </c>
      <c r="J75" s="179">
        <f t="shared" si="3"/>
        <v>6.25E-2</v>
      </c>
      <c r="K75" s="172">
        <v>2</v>
      </c>
      <c r="L75" s="179">
        <f t="shared" si="3"/>
        <v>6.25E-2</v>
      </c>
      <c r="M75" s="172">
        <v>1</v>
      </c>
      <c r="N75" s="190">
        <f t="shared" si="4"/>
        <v>3.8461538461538464E-2</v>
      </c>
      <c r="O75" s="172">
        <v>1</v>
      </c>
      <c r="P75" s="190">
        <f t="shared" si="4"/>
        <v>4.1666666666666664E-2</v>
      </c>
      <c r="Q75" s="1002"/>
      <c r="R75" s="908" t="e">
        <f t="shared" si="5"/>
        <v>#DIV/0!</v>
      </c>
      <c r="T75" s="599">
        <f t="shared" ref="T75:T92" si="7">AVERAGE(O75,M75,K75,I75,G75)</f>
        <v>1.6</v>
      </c>
      <c r="U75" s="621">
        <f t="shared" ref="U75:U92" si="8">AVERAGE(P75,N75,L75,J75,H75)</f>
        <v>5.4818744473916881E-2</v>
      </c>
    </row>
    <row r="76" spans="2:21" ht="12" x14ac:dyDescent="0.2">
      <c r="B76" s="70" t="s">
        <v>68</v>
      </c>
      <c r="C76" s="172">
        <v>0</v>
      </c>
      <c r="D76" s="173">
        <f t="shared" si="6"/>
        <v>0</v>
      </c>
      <c r="E76" s="114">
        <v>0</v>
      </c>
      <c r="F76" s="179">
        <f t="shared" si="2"/>
        <v>0</v>
      </c>
      <c r="G76" s="172">
        <v>0</v>
      </c>
      <c r="H76" s="190">
        <f t="shared" si="2"/>
        <v>0</v>
      </c>
      <c r="I76" s="114">
        <v>0</v>
      </c>
      <c r="J76" s="179">
        <f t="shared" si="3"/>
        <v>0</v>
      </c>
      <c r="K76" s="172">
        <v>0</v>
      </c>
      <c r="L76" s="179">
        <f t="shared" si="3"/>
        <v>0</v>
      </c>
      <c r="M76" s="172">
        <v>0</v>
      </c>
      <c r="N76" s="190">
        <f t="shared" si="4"/>
        <v>0</v>
      </c>
      <c r="O76" s="172">
        <v>0</v>
      </c>
      <c r="P76" s="190">
        <f t="shared" si="4"/>
        <v>0</v>
      </c>
      <c r="Q76" s="1002"/>
      <c r="R76" s="908" t="e">
        <f t="shared" si="5"/>
        <v>#DIV/0!</v>
      </c>
      <c r="S76" s="430"/>
      <c r="T76" s="599">
        <f t="shared" si="7"/>
        <v>0</v>
      </c>
      <c r="U76" s="621">
        <f t="shared" si="8"/>
        <v>0</v>
      </c>
    </row>
    <row r="77" spans="2:21" ht="12" x14ac:dyDescent="0.2">
      <c r="B77" s="70" t="s">
        <v>69</v>
      </c>
      <c r="C77" s="172">
        <v>0</v>
      </c>
      <c r="D77" s="173">
        <f t="shared" si="6"/>
        <v>0</v>
      </c>
      <c r="E77" s="114">
        <v>0</v>
      </c>
      <c r="F77" s="179">
        <f t="shared" si="2"/>
        <v>0</v>
      </c>
      <c r="G77" s="172">
        <v>0</v>
      </c>
      <c r="H77" s="190">
        <f t="shared" si="2"/>
        <v>0</v>
      </c>
      <c r="I77" s="114">
        <v>0</v>
      </c>
      <c r="J77" s="179">
        <f t="shared" si="3"/>
        <v>0</v>
      </c>
      <c r="K77" s="172">
        <v>0</v>
      </c>
      <c r="L77" s="179">
        <f t="shared" si="3"/>
        <v>0</v>
      </c>
      <c r="M77" s="172">
        <v>0</v>
      </c>
      <c r="N77" s="190">
        <f t="shared" si="4"/>
        <v>0</v>
      </c>
      <c r="O77" s="172">
        <v>0</v>
      </c>
      <c r="P77" s="190">
        <f t="shared" si="4"/>
        <v>0</v>
      </c>
      <c r="Q77" s="1002"/>
      <c r="R77" s="908" t="e">
        <f t="shared" si="5"/>
        <v>#DIV/0!</v>
      </c>
      <c r="S77" s="430"/>
      <c r="T77" s="599">
        <f t="shared" si="7"/>
        <v>0</v>
      </c>
      <c r="U77" s="621">
        <f t="shared" si="8"/>
        <v>0</v>
      </c>
    </row>
    <row r="78" spans="2:21" ht="12" x14ac:dyDescent="0.2">
      <c r="B78" s="70" t="s">
        <v>70</v>
      </c>
      <c r="C78" s="172">
        <v>0</v>
      </c>
      <c r="D78" s="173">
        <f t="shared" si="6"/>
        <v>0</v>
      </c>
      <c r="E78" s="114">
        <v>0</v>
      </c>
      <c r="F78" s="179">
        <f t="shared" si="2"/>
        <v>0</v>
      </c>
      <c r="G78" s="172">
        <v>1</v>
      </c>
      <c r="H78" s="190">
        <f t="shared" si="2"/>
        <v>3.4482758620689655E-2</v>
      </c>
      <c r="I78" s="114">
        <v>1</v>
      </c>
      <c r="J78" s="179">
        <f t="shared" si="3"/>
        <v>3.125E-2</v>
      </c>
      <c r="K78" s="172">
        <v>1</v>
      </c>
      <c r="L78" s="179">
        <f t="shared" si="3"/>
        <v>3.125E-2</v>
      </c>
      <c r="M78" s="172">
        <v>1</v>
      </c>
      <c r="N78" s="190">
        <f t="shared" si="4"/>
        <v>3.8461538461538464E-2</v>
      </c>
      <c r="O78" s="172">
        <v>1</v>
      </c>
      <c r="P78" s="190">
        <f t="shared" si="4"/>
        <v>4.1666666666666664E-2</v>
      </c>
      <c r="Q78" s="1002"/>
      <c r="R78" s="908" t="e">
        <f t="shared" si="5"/>
        <v>#DIV/0!</v>
      </c>
      <c r="S78" s="430"/>
      <c r="T78" s="599">
        <f t="shared" si="7"/>
        <v>1</v>
      </c>
      <c r="U78" s="621">
        <f t="shared" si="8"/>
        <v>3.5422192749778959E-2</v>
      </c>
    </row>
    <row r="79" spans="2:21" ht="12" x14ac:dyDescent="0.2">
      <c r="B79" s="70" t="s">
        <v>71</v>
      </c>
      <c r="C79" s="172">
        <v>0</v>
      </c>
      <c r="D79" s="173">
        <f t="shared" si="6"/>
        <v>0</v>
      </c>
      <c r="E79" s="114">
        <v>1</v>
      </c>
      <c r="F79" s="179">
        <f t="shared" si="2"/>
        <v>3.3333333333333333E-2</v>
      </c>
      <c r="G79" s="172">
        <v>0</v>
      </c>
      <c r="H79" s="190">
        <f t="shared" si="2"/>
        <v>0</v>
      </c>
      <c r="I79" s="114">
        <v>0</v>
      </c>
      <c r="J79" s="179">
        <f t="shared" si="3"/>
        <v>0</v>
      </c>
      <c r="K79" s="172">
        <v>0</v>
      </c>
      <c r="L79" s="179">
        <f t="shared" si="3"/>
        <v>0</v>
      </c>
      <c r="M79" s="172">
        <v>0</v>
      </c>
      <c r="N79" s="190">
        <f t="shared" si="4"/>
        <v>0</v>
      </c>
      <c r="O79" s="172">
        <v>0</v>
      </c>
      <c r="P79" s="190">
        <f t="shared" si="4"/>
        <v>0</v>
      </c>
      <c r="Q79" s="1002"/>
      <c r="R79" s="908" t="e">
        <f t="shared" si="5"/>
        <v>#DIV/0!</v>
      </c>
      <c r="S79" s="430"/>
      <c r="T79" s="599">
        <f t="shared" si="7"/>
        <v>0</v>
      </c>
      <c r="U79" s="621">
        <f t="shared" si="8"/>
        <v>0</v>
      </c>
    </row>
    <row r="80" spans="2:21" ht="12" x14ac:dyDescent="0.2">
      <c r="B80" s="70" t="s">
        <v>72</v>
      </c>
      <c r="C80" s="174">
        <v>0</v>
      </c>
      <c r="D80" s="173">
        <f t="shared" si="6"/>
        <v>0</v>
      </c>
      <c r="E80" s="115">
        <v>0</v>
      </c>
      <c r="F80" s="179">
        <f t="shared" si="2"/>
        <v>0</v>
      </c>
      <c r="G80" s="174">
        <v>0</v>
      </c>
      <c r="H80" s="190">
        <f t="shared" si="2"/>
        <v>0</v>
      </c>
      <c r="I80" s="115">
        <v>0</v>
      </c>
      <c r="J80" s="179">
        <f t="shared" si="3"/>
        <v>0</v>
      </c>
      <c r="K80" s="174">
        <v>0</v>
      </c>
      <c r="L80" s="179">
        <f t="shared" si="3"/>
        <v>0</v>
      </c>
      <c r="M80" s="174">
        <v>0</v>
      </c>
      <c r="N80" s="190">
        <f t="shared" si="4"/>
        <v>0</v>
      </c>
      <c r="O80" s="174">
        <v>0</v>
      </c>
      <c r="P80" s="190">
        <f t="shared" si="4"/>
        <v>0</v>
      </c>
      <c r="Q80" s="1004"/>
      <c r="R80" s="908" t="e">
        <f t="shared" si="5"/>
        <v>#DIV/0!</v>
      </c>
      <c r="S80" s="430"/>
      <c r="T80" s="599">
        <f t="shared" si="7"/>
        <v>0</v>
      </c>
      <c r="U80" s="621">
        <f t="shared" si="8"/>
        <v>0</v>
      </c>
    </row>
    <row r="81" spans="1:23" ht="12" x14ac:dyDescent="0.2">
      <c r="B81" s="287" t="s">
        <v>85</v>
      </c>
      <c r="C81" s="175"/>
      <c r="D81" s="173"/>
      <c r="E81" s="185"/>
      <c r="F81" s="299"/>
      <c r="G81" s="303"/>
      <c r="H81" s="245"/>
      <c r="I81" s="185"/>
      <c r="J81" s="299"/>
      <c r="K81" s="303"/>
      <c r="L81" s="299"/>
      <c r="M81" s="303"/>
      <c r="N81" s="245"/>
      <c r="O81" s="303"/>
      <c r="P81" s="245"/>
      <c r="Q81" s="1005"/>
      <c r="R81" s="911"/>
      <c r="T81" s="599"/>
      <c r="U81" s="621" t="e">
        <f>AVERAGE(P81,N81,L81,J81,H81)</f>
        <v>#DIV/0!</v>
      </c>
    </row>
    <row r="82" spans="1:23" ht="12" x14ac:dyDescent="0.2">
      <c r="B82" s="47" t="s">
        <v>73</v>
      </c>
      <c r="C82" s="188">
        <v>8</v>
      </c>
      <c r="D82" s="173">
        <f t="shared" si="6"/>
        <v>0.53333333333333333</v>
      </c>
      <c r="E82" s="116">
        <v>14</v>
      </c>
      <c r="F82" s="265">
        <f>E82/F$72</f>
        <v>0.46666666666666667</v>
      </c>
      <c r="G82" s="188">
        <v>11</v>
      </c>
      <c r="H82" s="246">
        <f>G82/H$72</f>
        <v>0.37931034482758619</v>
      </c>
      <c r="I82" s="313">
        <v>13</v>
      </c>
      <c r="J82" s="179">
        <f>I82/J$72</f>
        <v>0.40625</v>
      </c>
      <c r="K82" s="188">
        <v>14</v>
      </c>
      <c r="L82" s="179">
        <f>K82/L$72</f>
        <v>0.4375</v>
      </c>
      <c r="M82" s="188">
        <v>9</v>
      </c>
      <c r="N82" s="190">
        <f>M82/N$72</f>
        <v>0.34615384615384615</v>
      </c>
      <c r="O82" s="188">
        <v>8</v>
      </c>
      <c r="P82" s="190">
        <f>O82/P$72</f>
        <v>0.33333333333333331</v>
      </c>
      <c r="Q82" s="1007"/>
      <c r="R82" s="908" t="e">
        <f>Q82/R$72</f>
        <v>#DIV/0!</v>
      </c>
      <c r="T82" s="599">
        <f t="shared" si="7"/>
        <v>11</v>
      </c>
      <c r="U82" s="621">
        <f t="shared" si="8"/>
        <v>0.3805095048629531</v>
      </c>
    </row>
    <row r="83" spans="1:23" ht="12" x14ac:dyDescent="0.2">
      <c r="B83" s="47" t="s">
        <v>74</v>
      </c>
      <c r="C83" s="188">
        <v>7</v>
      </c>
      <c r="D83" s="173">
        <f t="shared" si="6"/>
        <v>0.46666666666666667</v>
      </c>
      <c r="E83" s="182">
        <v>16</v>
      </c>
      <c r="F83" s="265">
        <f>E83/F$72</f>
        <v>0.53333333333333333</v>
      </c>
      <c r="G83" s="191">
        <v>18</v>
      </c>
      <c r="H83" s="246">
        <f>G83/H$72</f>
        <v>0.62068965517241381</v>
      </c>
      <c r="I83" s="181">
        <v>19</v>
      </c>
      <c r="J83" s="179">
        <f>I83/J$72</f>
        <v>0.59375</v>
      </c>
      <c r="K83" s="191">
        <v>18</v>
      </c>
      <c r="L83" s="179">
        <f>K83/L$72</f>
        <v>0.5625</v>
      </c>
      <c r="M83" s="191">
        <v>17</v>
      </c>
      <c r="N83" s="190">
        <f>M83/N$72</f>
        <v>0.65384615384615385</v>
      </c>
      <c r="O83" s="191">
        <v>16</v>
      </c>
      <c r="P83" s="190">
        <f>O83/P$72</f>
        <v>0.66666666666666663</v>
      </c>
      <c r="Q83" s="1008"/>
      <c r="R83" s="908" t="e">
        <f>Q83/R$72</f>
        <v>#DIV/0!</v>
      </c>
      <c r="T83" s="599">
        <f t="shared" si="7"/>
        <v>17.600000000000001</v>
      </c>
      <c r="U83" s="621">
        <f t="shared" si="8"/>
        <v>0.61949049513704679</v>
      </c>
    </row>
    <row r="84" spans="1:23" ht="12" x14ac:dyDescent="0.2">
      <c r="B84" s="287" t="s">
        <v>86</v>
      </c>
      <c r="C84" s="176"/>
      <c r="D84" s="173"/>
      <c r="E84" s="186"/>
      <c r="F84" s="265"/>
      <c r="G84" s="304"/>
      <c r="H84" s="246"/>
      <c r="I84" s="225"/>
      <c r="J84" s="179"/>
      <c r="K84" s="304"/>
      <c r="L84" s="179"/>
      <c r="M84" s="304"/>
      <c r="N84" s="190"/>
      <c r="O84" s="304"/>
      <c r="P84" s="190"/>
      <c r="Q84" s="1009"/>
      <c r="R84" s="908"/>
      <c r="T84" s="599"/>
      <c r="U84" s="621" t="e">
        <f t="shared" si="8"/>
        <v>#DIV/0!</v>
      </c>
    </row>
    <row r="85" spans="1:23" ht="12" x14ac:dyDescent="0.2">
      <c r="B85" s="47" t="s">
        <v>75</v>
      </c>
      <c r="C85" s="184">
        <v>10</v>
      </c>
      <c r="D85" s="173">
        <f t="shared" si="6"/>
        <v>0.66666666666666663</v>
      </c>
      <c r="E85" s="182">
        <v>15</v>
      </c>
      <c r="F85" s="265">
        <f>E85/F$72</f>
        <v>0.5</v>
      </c>
      <c r="G85" s="191">
        <v>14</v>
      </c>
      <c r="H85" s="246">
        <f>G85/H$72</f>
        <v>0.48275862068965519</v>
      </c>
      <c r="I85" s="181">
        <v>14</v>
      </c>
      <c r="J85" s="179">
        <f>I85/J$72</f>
        <v>0.4375</v>
      </c>
      <c r="K85" s="191">
        <v>26</v>
      </c>
      <c r="L85" s="179">
        <f>K85/L$72</f>
        <v>0.8125</v>
      </c>
      <c r="M85" s="191">
        <v>8</v>
      </c>
      <c r="N85" s="190">
        <f>M85/N$72</f>
        <v>0.30769230769230771</v>
      </c>
      <c r="O85" s="191">
        <v>9</v>
      </c>
      <c r="P85" s="190">
        <f>O85/P$72</f>
        <v>0.375</v>
      </c>
      <c r="Q85" s="1008"/>
      <c r="R85" s="908" t="e">
        <f>Q85/R$72</f>
        <v>#DIV/0!</v>
      </c>
      <c r="T85" s="599">
        <f t="shared" si="7"/>
        <v>14.2</v>
      </c>
      <c r="U85" s="621">
        <f t="shared" si="8"/>
        <v>0.48309018567639256</v>
      </c>
    </row>
    <row r="86" spans="1:23" ht="12" x14ac:dyDescent="0.2">
      <c r="B86" s="47" t="s">
        <v>76</v>
      </c>
      <c r="C86" s="184">
        <v>1</v>
      </c>
      <c r="D86" s="173">
        <f t="shared" si="6"/>
        <v>6.6666666666666666E-2</v>
      </c>
      <c r="E86" s="182">
        <v>3</v>
      </c>
      <c r="F86" s="265">
        <f>E86/F$72</f>
        <v>0.1</v>
      </c>
      <c r="G86" s="191">
        <v>2</v>
      </c>
      <c r="H86" s="246">
        <f>G86/H$72</f>
        <v>6.8965517241379309E-2</v>
      </c>
      <c r="I86" s="181">
        <v>4</v>
      </c>
      <c r="J86" s="179">
        <f>I86/J$72</f>
        <v>0.125</v>
      </c>
      <c r="K86" s="191">
        <v>4</v>
      </c>
      <c r="L86" s="179">
        <f>K86/L$72</f>
        <v>0.125</v>
      </c>
      <c r="M86" s="191">
        <v>3</v>
      </c>
      <c r="N86" s="190">
        <f>M86/N$72</f>
        <v>0.11538461538461539</v>
      </c>
      <c r="O86" s="191">
        <v>2</v>
      </c>
      <c r="P86" s="190">
        <f>O86/P$72</f>
        <v>8.3333333333333329E-2</v>
      </c>
      <c r="Q86" s="1008"/>
      <c r="R86" s="908" t="e">
        <f>Q86/R$72</f>
        <v>#DIV/0!</v>
      </c>
      <c r="T86" s="599">
        <f t="shared" si="7"/>
        <v>3</v>
      </c>
      <c r="U86" s="621">
        <f t="shared" si="8"/>
        <v>0.10353669319186561</v>
      </c>
    </row>
    <row r="87" spans="1:23" ht="12" x14ac:dyDescent="0.2">
      <c r="B87" s="47" t="s">
        <v>77</v>
      </c>
      <c r="C87" s="184">
        <v>4</v>
      </c>
      <c r="D87" s="173">
        <f t="shared" si="6"/>
        <v>0.26666666666666666</v>
      </c>
      <c r="E87" s="182">
        <v>12</v>
      </c>
      <c r="F87" s="265">
        <f>E87/F$72</f>
        <v>0.4</v>
      </c>
      <c r="G87" s="191">
        <v>13</v>
      </c>
      <c r="H87" s="246">
        <f>G87/H$72</f>
        <v>0.44827586206896552</v>
      </c>
      <c r="I87" s="181">
        <v>14</v>
      </c>
      <c r="J87" s="179">
        <f>I87/J$72</f>
        <v>0.4375</v>
      </c>
      <c r="K87" s="191">
        <v>2</v>
      </c>
      <c r="L87" s="179">
        <f>K87/L$72</f>
        <v>6.25E-2</v>
      </c>
      <c r="M87" s="191">
        <v>15</v>
      </c>
      <c r="N87" s="190">
        <f>M87/N$72</f>
        <v>0.57692307692307687</v>
      </c>
      <c r="O87" s="191">
        <v>13</v>
      </c>
      <c r="P87" s="190">
        <f>O87/P$72</f>
        <v>0.54166666666666663</v>
      </c>
      <c r="Q87" s="1008"/>
      <c r="R87" s="908" t="e">
        <f>Q87/R$72</f>
        <v>#DIV/0!</v>
      </c>
      <c r="T87" s="599">
        <f t="shared" si="7"/>
        <v>11.4</v>
      </c>
      <c r="U87" s="621">
        <f t="shared" si="8"/>
        <v>0.41337312113174179</v>
      </c>
    </row>
    <row r="88" spans="1:23" ht="12" x14ac:dyDescent="0.2">
      <c r="B88" s="287" t="s">
        <v>87</v>
      </c>
      <c r="C88" s="176"/>
      <c r="D88" s="173"/>
      <c r="E88" s="186"/>
      <c r="F88" s="265"/>
      <c r="G88" s="304"/>
      <c r="H88" s="246"/>
      <c r="I88" s="225"/>
      <c r="J88" s="179"/>
      <c r="K88" s="304"/>
      <c r="L88" s="179"/>
      <c r="M88" s="304"/>
      <c r="N88" s="190"/>
      <c r="O88" s="304"/>
      <c r="P88" s="190"/>
      <c r="Q88" s="1009"/>
      <c r="R88" s="908"/>
      <c r="T88" s="599"/>
      <c r="U88" s="621" t="e">
        <f t="shared" si="8"/>
        <v>#DIV/0!</v>
      </c>
    </row>
    <row r="89" spans="1:23" ht="12" x14ac:dyDescent="0.2">
      <c r="B89" s="47" t="s">
        <v>78</v>
      </c>
      <c r="C89" s="184">
        <v>12</v>
      </c>
      <c r="D89" s="173">
        <f t="shared" si="6"/>
        <v>0.8</v>
      </c>
      <c r="E89" s="182">
        <v>21</v>
      </c>
      <c r="F89" s="265">
        <f>E89/F$72</f>
        <v>0.7</v>
      </c>
      <c r="G89" s="191">
        <v>18</v>
      </c>
      <c r="H89" s="246">
        <f>G89/H$72</f>
        <v>0.62068965517241381</v>
      </c>
      <c r="I89" s="181">
        <v>18</v>
      </c>
      <c r="J89" s="179">
        <f>I89/J$72</f>
        <v>0.5625</v>
      </c>
      <c r="K89" s="191">
        <v>20</v>
      </c>
      <c r="L89" s="179">
        <f>K89/L$72</f>
        <v>0.625</v>
      </c>
      <c r="M89" s="191">
        <v>14</v>
      </c>
      <c r="N89" s="190">
        <f>M89/N$72</f>
        <v>0.53846153846153844</v>
      </c>
      <c r="O89" s="191">
        <v>12</v>
      </c>
      <c r="P89" s="190">
        <f>O89/P$72</f>
        <v>0.5</v>
      </c>
      <c r="Q89" s="1008"/>
      <c r="R89" s="908" t="e">
        <f>Q89/R$72</f>
        <v>#DIV/0!</v>
      </c>
      <c r="T89" s="599">
        <f t="shared" si="7"/>
        <v>16.399999999999999</v>
      </c>
      <c r="U89" s="621">
        <f t="shared" si="8"/>
        <v>0.56933023872679045</v>
      </c>
    </row>
    <row r="90" spans="1:23" ht="12" x14ac:dyDescent="0.2">
      <c r="B90" s="47" t="s">
        <v>79</v>
      </c>
      <c r="C90" s="184">
        <v>3</v>
      </c>
      <c r="D90" s="173">
        <f t="shared" si="6"/>
        <v>0.2</v>
      </c>
      <c r="E90" s="182">
        <v>8</v>
      </c>
      <c r="F90" s="265">
        <f>E90/F$72</f>
        <v>0.26666666666666666</v>
      </c>
      <c r="G90" s="191">
        <v>10</v>
      </c>
      <c r="H90" s="246">
        <f>G90/H$72</f>
        <v>0.34482758620689657</v>
      </c>
      <c r="I90" s="181">
        <v>13</v>
      </c>
      <c r="J90" s="179">
        <f>I90/J$72</f>
        <v>0.40625</v>
      </c>
      <c r="K90" s="191">
        <v>10</v>
      </c>
      <c r="L90" s="179">
        <f>K90/L$72</f>
        <v>0.3125</v>
      </c>
      <c r="M90" s="191">
        <v>10</v>
      </c>
      <c r="N90" s="190">
        <f>M90/N$72</f>
        <v>0.38461538461538464</v>
      </c>
      <c r="O90" s="191">
        <v>11</v>
      </c>
      <c r="P90" s="190">
        <f>O90/P$72</f>
        <v>0.45833333333333331</v>
      </c>
      <c r="Q90" s="1008"/>
      <c r="R90" s="908" t="e">
        <f>Q90/R$72</f>
        <v>#DIV/0!</v>
      </c>
      <c r="T90" s="599">
        <f t="shared" si="7"/>
        <v>10.8</v>
      </c>
      <c r="U90" s="621">
        <f t="shared" si="8"/>
        <v>0.38130526083112293</v>
      </c>
    </row>
    <row r="91" spans="1:23" ht="12" x14ac:dyDescent="0.2">
      <c r="B91" s="47" t="s">
        <v>80</v>
      </c>
      <c r="C91" s="184">
        <v>0</v>
      </c>
      <c r="D91" s="173">
        <f t="shared" si="6"/>
        <v>0</v>
      </c>
      <c r="E91" s="182">
        <v>1</v>
      </c>
      <c r="F91" s="265">
        <f>E91/F$72</f>
        <v>3.3333333333333333E-2</v>
      </c>
      <c r="G91" s="191">
        <v>1</v>
      </c>
      <c r="H91" s="246">
        <f>G91/H$72</f>
        <v>3.4482758620689655E-2</v>
      </c>
      <c r="I91" s="181">
        <v>1</v>
      </c>
      <c r="J91" s="179">
        <f>I91/J$72</f>
        <v>3.125E-2</v>
      </c>
      <c r="K91" s="191">
        <v>2</v>
      </c>
      <c r="L91" s="179">
        <f>K91/L$72</f>
        <v>6.25E-2</v>
      </c>
      <c r="M91" s="191">
        <v>2</v>
      </c>
      <c r="N91" s="190">
        <f>M91/N$72</f>
        <v>7.6923076923076927E-2</v>
      </c>
      <c r="O91" s="191">
        <v>1</v>
      </c>
      <c r="P91" s="190">
        <f>O91/P$72</f>
        <v>4.1666666666666664E-2</v>
      </c>
      <c r="Q91" s="1008"/>
      <c r="R91" s="908" t="e">
        <f>Q91/R$72</f>
        <v>#DIV/0!</v>
      </c>
      <c r="T91" s="599">
        <f t="shared" si="7"/>
        <v>1.4</v>
      </c>
      <c r="U91" s="621">
        <f t="shared" si="8"/>
        <v>4.9364500442086644E-2</v>
      </c>
    </row>
    <row r="92" spans="1:23" thickBot="1" x14ac:dyDescent="0.25">
      <c r="B92" s="519" t="s">
        <v>81</v>
      </c>
      <c r="C92" s="177">
        <v>0</v>
      </c>
      <c r="D92" s="178">
        <f t="shared" si="6"/>
        <v>0</v>
      </c>
      <c r="E92" s="187">
        <v>0</v>
      </c>
      <c r="F92" s="267">
        <f>E92/F$72</f>
        <v>0</v>
      </c>
      <c r="G92" s="197">
        <v>0</v>
      </c>
      <c r="H92" s="247">
        <f>G92/H$72</f>
        <v>0</v>
      </c>
      <c r="I92" s="198">
        <v>0</v>
      </c>
      <c r="J92" s="180">
        <f>I92/J$72</f>
        <v>0</v>
      </c>
      <c r="K92" s="197">
        <v>0</v>
      </c>
      <c r="L92" s="180">
        <f>K92/L$72</f>
        <v>0</v>
      </c>
      <c r="M92" s="197">
        <v>0</v>
      </c>
      <c r="N92" s="761">
        <f>M92/N$72</f>
        <v>0</v>
      </c>
      <c r="O92" s="197">
        <v>0</v>
      </c>
      <c r="P92" s="761">
        <f>O92/P$72</f>
        <v>0</v>
      </c>
      <c r="Q92" s="1010"/>
      <c r="R92" s="915" t="e">
        <f>Q92/R$72</f>
        <v>#DIV/0!</v>
      </c>
      <c r="S92" s="430"/>
      <c r="T92" s="600">
        <f t="shared" si="7"/>
        <v>0</v>
      </c>
      <c r="U92" s="636">
        <f t="shared" si="8"/>
        <v>0</v>
      </c>
    </row>
    <row r="93" spans="1:23" customFormat="1" ht="14.25" thickTop="1" thickBot="1" x14ac:dyDescent="0.25">
      <c r="A93" s="430"/>
      <c r="B93" s="512" t="s">
        <v>112</v>
      </c>
      <c r="C93" s="1230" t="s">
        <v>30</v>
      </c>
      <c r="D93" s="1259"/>
      <c r="E93" s="1230" t="s">
        <v>31</v>
      </c>
      <c r="F93" s="1259"/>
      <c r="G93" s="1249" t="s">
        <v>110</v>
      </c>
      <c r="H93" s="1257"/>
      <c r="I93" s="1249" t="s">
        <v>111</v>
      </c>
      <c r="J93" s="1257"/>
      <c r="K93" s="1249" t="s">
        <v>128</v>
      </c>
      <c r="L93" s="1257"/>
      <c r="M93" s="1254" t="s">
        <v>129</v>
      </c>
      <c r="N93" s="1219"/>
      <c r="O93" s="1218" t="s">
        <v>156</v>
      </c>
      <c r="P93" s="1219"/>
      <c r="Q93" s="1218" t="s">
        <v>161</v>
      </c>
      <c r="R93" s="1219"/>
      <c r="S93" s="430"/>
      <c r="T93" s="1284" t="s">
        <v>142</v>
      </c>
      <c r="U93" s="1285"/>
      <c r="V93" s="432"/>
      <c r="W93" s="432"/>
    </row>
    <row r="94" spans="1:23" customFormat="1" x14ac:dyDescent="0.2">
      <c r="A94" s="430"/>
      <c r="B94" s="513"/>
      <c r="C94" s="514" t="s">
        <v>82</v>
      </c>
      <c r="D94" s="515" t="s">
        <v>17</v>
      </c>
      <c r="E94" s="514" t="s">
        <v>82</v>
      </c>
      <c r="F94" s="515" t="s">
        <v>17</v>
      </c>
      <c r="G94" s="514" t="s">
        <v>82</v>
      </c>
      <c r="H94" s="515" t="s">
        <v>17</v>
      </c>
      <c r="I94" s="514" t="s">
        <v>82</v>
      </c>
      <c r="J94" s="515" t="s">
        <v>17</v>
      </c>
      <c r="K94" s="514" t="s">
        <v>82</v>
      </c>
      <c r="L94" s="515" t="s">
        <v>17</v>
      </c>
      <c r="M94" s="514" t="s">
        <v>82</v>
      </c>
      <c r="N94" s="515" t="s">
        <v>17</v>
      </c>
      <c r="O94" s="514" t="s">
        <v>82</v>
      </c>
      <c r="P94" s="515" t="s">
        <v>17</v>
      </c>
      <c r="Q94" s="514" t="s">
        <v>82</v>
      </c>
      <c r="R94" s="515" t="s">
        <v>17</v>
      </c>
      <c r="S94" s="430"/>
      <c r="T94" s="707" t="s">
        <v>82</v>
      </c>
      <c r="U94" s="708" t="s">
        <v>17</v>
      </c>
      <c r="V94" s="432"/>
      <c r="W94" s="432"/>
    </row>
    <row r="95" spans="1:23" customFormat="1" x14ac:dyDescent="0.2">
      <c r="A95" s="430"/>
      <c r="B95" s="283" t="s">
        <v>113</v>
      </c>
      <c r="C95" s="517">
        <v>0</v>
      </c>
      <c r="D95" s="518">
        <v>0</v>
      </c>
      <c r="E95" s="517">
        <v>1</v>
      </c>
      <c r="F95" s="518">
        <v>0.4</v>
      </c>
      <c r="G95" s="517">
        <v>1</v>
      </c>
      <c r="H95" s="518">
        <v>0.5</v>
      </c>
      <c r="I95" s="517">
        <v>0</v>
      </c>
      <c r="J95" s="518">
        <v>0</v>
      </c>
      <c r="K95" s="517">
        <v>0</v>
      </c>
      <c r="L95" s="518">
        <v>0</v>
      </c>
      <c r="M95" s="517">
        <v>0</v>
      </c>
      <c r="N95" s="518">
        <v>0</v>
      </c>
      <c r="O95" s="517">
        <v>1</v>
      </c>
      <c r="P95" s="518">
        <v>0.5</v>
      </c>
      <c r="Q95" s="916"/>
      <c r="R95" s="917"/>
      <c r="S95" s="430"/>
      <c r="T95" s="775">
        <f t="shared" ref="T95:U97" si="9">AVERAGE(O95,M95,K95,I95,G95)</f>
        <v>0.4</v>
      </c>
      <c r="U95" s="656">
        <f t="shared" si="9"/>
        <v>0.2</v>
      </c>
      <c r="V95" s="432"/>
      <c r="W95" s="432"/>
    </row>
    <row r="96" spans="1:23" customFormat="1" x14ac:dyDescent="0.2">
      <c r="A96" s="430"/>
      <c r="B96" s="283" t="s">
        <v>114</v>
      </c>
      <c r="C96" s="517">
        <v>2</v>
      </c>
      <c r="D96" s="518">
        <v>1</v>
      </c>
      <c r="E96" s="517">
        <v>3</v>
      </c>
      <c r="F96" s="518">
        <v>1.5</v>
      </c>
      <c r="G96" s="517">
        <v>5</v>
      </c>
      <c r="H96" s="518">
        <v>2.5</v>
      </c>
      <c r="I96" s="517">
        <v>3</v>
      </c>
      <c r="J96" s="518">
        <v>1.5</v>
      </c>
      <c r="K96" s="517">
        <v>5</v>
      </c>
      <c r="L96" s="518">
        <v>2.5</v>
      </c>
      <c r="M96" s="517">
        <v>3</v>
      </c>
      <c r="N96" s="518">
        <v>1.5</v>
      </c>
      <c r="O96" s="517">
        <v>4</v>
      </c>
      <c r="P96" s="518">
        <v>2</v>
      </c>
      <c r="Q96" s="916"/>
      <c r="R96" s="917"/>
      <c r="S96" s="430"/>
      <c r="T96" s="775">
        <f t="shared" si="9"/>
        <v>4</v>
      </c>
      <c r="U96" s="656">
        <f t="shared" si="9"/>
        <v>2</v>
      </c>
      <c r="V96" s="1"/>
      <c r="W96" s="1"/>
    </row>
    <row r="97" spans="1:23" customFormat="1" ht="13.5" thickBot="1" x14ac:dyDescent="0.25">
      <c r="A97" s="430"/>
      <c r="B97" s="519" t="s">
        <v>137</v>
      </c>
      <c r="C97" s="517">
        <v>0</v>
      </c>
      <c r="D97" s="520">
        <v>0</v>
      </c>
      <c r="E97" s="517">
        <v>0</v>
      </c>
      <c r="F97" s="520">
        <v>0</v>
      </c>
      <c r="G97" s="517">
        <v>0</v>
      </c>
      <c r="H97" s="520">
        <v>0</v>
      </c>
      <c r="I97" s="517">
        <v>0</v>
      </c>
      <c r="J97" s="520">
        <v>0</v>
      </c>
      <c r="K97" s="517">
        <v>0</v>
      </c>
      <c r="L97" s="520">
        <v>0</v>
      </c>
      <c r="M97" s="517">
        <v>0</v>
      </c>
      <c r="N97" s="520">
        <v>0</v>
      </c>
      <c r="O97" s="517">
        <v>0</v>
      </c>
      <c r="P97" s="520">
        <v>0</v>
      </c>
      <c r="Q97" s="916"/>
      <c r="R97" s="918"/>
      <c r="S97" s="430"/>
      <c r="T97" s="775">
        <f t="shared" si="9"/>
        <v>0</v>
      </c>
      <c r="U97" s="656">
        <f t="shared" si="9"/>
        <v>0</v>
      </c>
      <c r="V97" s="1"/>
      <c r="W97" s="22"/>
    </row>
    <row r="98" spans="1:23" customFormat="1" ht="17.25" thickTop="1" thickBot="1" x14ac:dyDescent="0.3">
      <c r="A98" s="521"/>
      <c r="B98" s="522"/>
      <c r="C98" s="1230" t="s">
        <v>30</v>
      </c>
      <c r="D98" s="1259"/>
      <c r="E98" s="1230" t="s">
        <v>31</v>
      </c>
      <c r="F98" s="1259"/>
      <c r="G98" s="1249" t="s">
        <v>110</v>
      </c>
      <c r="H98" s="1257"/>
      <c r="I98" s="1249" t="s">
        <v>111</v>
      </c>
      <c r="J98" s="1257"/>
      <c r="K98" s="1249" t="s">
        <v>128</v>
      </c>
      <c r="L98" s="1257"/>
      <c r="M98" s="1254" t="s">
        <v>129</v>
      </c>
      <c r="N98" s="1219"/>
      <c r="O98" s="1218" t="s">
        <v>156</v>
      </c>
      <c r="P98" s="1219"/>
      <c r="Q98" s="1218" t="s">
        <v>161</v>
      </c>
      <c r="R98" s="1219"/>
      <c r="S98" s="523"/>
      <c r="T98" s="1250"/>
      <c r="U98" s="1372"/>
      <c r="V98" s="1"/>
      <c r="W98" s="1"/>
    </row>
    <row r="99" spans="1:23" customFormat="1" x14ac:dyDescent="0.2">
      <c r="A99" s="1"/>
      <c r="B99" s="524" t="s">
        <v>136</v>
      </c>
      <c r="C99" s="1"/>
      <c r="D99" s="525"/>
      <c r="E99" s="526"/>
      <c r="F99" s="527"/>
      <c r="G99" s="528"/>
      <c r="H99" s="529"/>
      <c r="I99" s="530"/>
      <c r="J99" s="243"/>
      <c r="K99" s="531"/>
      <c r="L99" s="532"/>
      <c r="M99" s="531"/>
      <c r="N99" s="547"/>
      <c r="O99" s="531"/>
      <c r="P99" s="547"/>
      <c r="Q99" s="531"/>
      <c r="R99" s="547"/>
      <c r="S99" s="22"/>
      <c r="T99" s="484"/>
      <c r="U99" s="644"/>
      <c r="V99" s="1"/>
      <c r="W99" s="1"/>
    </row>
    <row r="100" spans="1:23" customFormat="1" x14ac:dyDescent="0.2">
      <c r="A100" s="430"/>
      <c r="B100" s="842" t="s">
        <v>118</v>
      </c>
      <c r="C100" s="1262">
        <v>6.875</v>
      </c>
      <c r="D100" s="1263"/>
      <c r="E100" s="535"/>
      <c r="F100" s="536"/>
      <c r="G100" s="537"/>
      <c r="H100" s="538"/>
      <c r="I100" s="1262">
        <v>8</v>
      </c>
      <c r="J100" s="1263"/>
      <c r="K100" s="539"/>
      <c r="L100" s="540"/>
      <c r="M100" s="539"/>
      <c r="N100" s="547"/>
      <c r="O100" s="539"/>
      <c r="P100" s="547"/>
      <c r="Q100" s="539"/>
      <c r="R100" s="547"/>
      <c r="S100" s="22"/>
      <c r="T100" s="599"/>
      <c r="U100" s="637"/>
      <c r="V100" s="1"/>
      <c r="W100" s="1"/>
    </row>
    <row r="101" spans="1:23" customFormat="1" x14ac:dyDescent="0.2">
      <c r="A101" s="430"/>
      <c r="B101" s="843" t="s">
        <v>119</v>
      </c>
      <c r="C101" s="1262"/>
      <c r="D101" s="1263"/>
      <c r="E101" s="535"/>
      <c r="F101" s="536"/>
      <c r="G101" s="537"/>
      <c r="H101" s="538"/>
      <c r="I101" s="1262"/>
      <c r="J101" s="1263"/>
      <c r="K101" s="539"/>
      <c r="L101" s="540"/>
      <c r="M101" s="539"/>
      <c r="N101" s="547"/>
      <c r="O101" s="539"/>
      <c r="P101" s="547"/>
      <c r="Q101" s="539"/>
      <c r="R101" s="547"/>
      <c r="S101" s="22"/>
      <c r="T101" s="599"/>
      <c r="U101" s="637"/>
      <c r="V101" s="1"/>
      <c r="W101" s="1"/>
    </row>
    <row r="102" spans="1:23" customFormat="1" x14ac:dyDescent="0.2">
      <c r="A102" s="430"/>
      <c r="B102" s="843" t="s">
        <v>120</v>
      </c>
      <c r="C102" s="1262">
        <v>0</v>
      </c>
      <c r="D102" s="1263"/>
      <c r="E102" s="535"/>
      <c r="F102" s="536"/>
      <c r="G102" s="537"/>
      <c r="H102" s="538"/>
      <c r="I102" s="1262">
        <v>1</v>
      </c>
      <c r="J102" s="1263"/>
      <c r="K102" s="539"/>
      <c r="L102" s="540"/>
      <c r="M102" s="539"/>
      <c r="N102" s="547"/>
      <c r="O102" s="539"/>
      <c r="P102" s="547"/>
      <c r="Q102" s="539"/>
      <c r="R102" s="547"/>
      <c r="S102" s="22"/>
      <c r="T102" s="599"/>
      <c r="U102" s="637"/>
      <c r="V102" s="1"/>
      <c r="W102" s="1"/>
    </row>
    <row r="103" spans="1:23" customFormat="1" x14ac:dyDescent="0.2">
      <c r="A103" s="430"/>
      <c r="B103" s="842" t="s">
        <v>121</v>
      </c>
      <c r="C103" s="1262">
        <v>1</v>
      </c>
      <c r="D103" s="1263"/>
      <c r="E103" s="535"/>
      <c r="F103" s="536"/>
      <c r="G103" s="537"/>
      <c r="H103" s="538"/>
      <c r="I103" s="1262">
        <v>1</v>
      </c>
      <c r="J103" s="1263"/>
      <c r="K103" s="539"/>
      <c r="L103" s="540"/>
      <c r="M103" s="539"/>
      <c r="N103" s="547"/>
      <c r="O103" s="539"/>
      <c r="P103" s="547"/>
      <c r="Q103" s="539"/>
      <c r="R103" s="547"/>
      <c r="S103" s="22"/>
      <c r="T103" s="599"/>
      <c r="U103" s="637"/>
      <c r="V103" s="1"/>
      <c r="W103" s="1"/>
    </row>
    <row r="104" spans="1:23" customFormat="1" x14ac:dyDescent="0.2">
      <c r="A104" s="430"/>
      <c r="B104" s="844" t="s">
        <v>122</v>
      </c>
      <c r="C104" s="1262">
        <v>5.65</v>
      </c>
      <c r="D104" s="1263"/>
      <c r="E104" s="535"/>
      <c r="F104" s="536"/>
      <c r="G104" s="537"/>
      <c r="H104" s="538"/>
      <c r="I104" s="1262">
        <v>6.1</v>
      </c>
      <c r="J104" s="1263"/>
      <c r="K104" s="539"/>
      <c r="L104" s="540"/>
      <c r="M104" s="539"/>
      <c r="N104" s="547"/>
      <c r="O104" s="539"/>
      <c r="P104" s="547"/>
      <c r="Q104" s="539"/>
      <c r="R104" s="547"/>
      <c r="S104" s="22"/>
      <c r="T104" s="599"/>
      <c r="U104" s="637"/>
      <c r="V104" s="1"/>
      <c r="W104" s="1"/>
    </row>
    <row r="105" spans="1:23" customFormat="1" x14ac:dyDescent="0.2">
      <c r="A105" s="430"/>
      <c r="B105" s="844" t="s">
        <v>123</v>
      </c>
      <c r="C105" s="1262">
        <f>SUM(C100:D104)</f>
        <v>13.525</v>
      </c>
      <c r="D105" s="1263"/>
      <c r="E105" s="535"/>
      <c r="F105" s="536"/>
      <c r="G105" s="537"/>
      <c r="H105" s="538"/>
      <c r="I105" s="1262">
        <v>16.100000000000001</v>
      </c>
      <c r="J105" s="1263"/>
      <c r="K105" s="539"/>
      <c r="L105" s="540"/>
      <c r="M105" s="539"/>
      <c r="N105" s="547"/>
      <c r="O105" s="539"/>
      <c r="P105" s="547"/>
      <c r="Q105" s="539"/>
      <c r="R105" s="547"/>
      <c r="S105" s="22"/>
      <c r="T105" s="599"/>
      <c r="U105" s="637"/>
      <c r="V105" s="1"/>
      <c r="W105" s="1"/>
    </row>
    <row r="106" spans="1:23" customFormat="1" ht="13.5" thickBot="1" x14ac:dyDescent="0.25">
      <c r="A106" s="430"/>
      <c r="B106" s="649" t="s">
        <v>130</v>
      </c>
      <c r="C106" s="1316"/>
      <c r="D106" s="1317"/>
      <c r="E106" s="545"/>
      <c r="F106" s="546"/>
      <c r="G106" s="531"/>
      <c r="H106" s="547"/>
      <c r="I106" s="1316"/>
      <c r="J106" s="1317"/>
      <c r="K106" s="539"/>
      <c r="L106" s="540"/>
      <c r="M106" s="539"/>
      <c r="N106" s="547"/>
      <c r="O106" s="539"/>
      <c r="P106" s="547"/>
      <c r="Q106" s="539"/>
      <c r="R106" s="547"/>
      <c r="S106" s="22"/>
      <c r="T106" s="599"/>
      <c r="U106" s="637"/>
      <c r="V106" s="1"/>
      <c r="W106" s="1"/>
    </row>
    <row r="107" spans="1:23" customFormat="1" x14ac:dyDescent="0.2">
      <c r="A107" s="430"/>
      <c r="B107" s="842" t="s">
        <v>124</v>
      </c>
      <c r="C107" s="1314">
        <v>990</v>
      </c>
      <c r="D107" s="1315"/>
      <c r="E107" s="548"/>
      <c r="F107" s="549"/>
      <c r="G107" s="550"/>
      <c r="H107" s="551"/>
      <c r="I107" s="1314">
        <v>1195</v>
      </c>
      <c r="J107" s="1315"/>
      <c r="K107" s="539"/>
      <c r="L107" s="540"/>
      <c r="M107" s="539"/>
      <c r="N107" s="547"/>
      <c r="O107" s="539"/>
      <c r="P107" s="547"/>
      <c r="Q107" s="539"/>
      <c r="R107" s="547"/>
      <c r="S107" s="22"/>
      <c r="T107" s="599"/>
      <c r="U107" s="637"/>
      <c r="V107" s="1"/>
      <c r="W107" s="1"/>
    </row>
    <row r="108" spans="1:23" customFormat="1" x14ac:dyDescent="0.2">
      <c r="A108" s="430"/>
      <c r="B108" s="844" t="s">
        <v>125</v>
      </c>
      <c r="C108" s="1314">
        <v>0</v>
      </c>
      <c r="D108" s="1315"/>
      <c r="E108" s="548"/>
      <c r="F108" s="549"/>
      <c r="G108" s="550"/>
      <c r="H108" s="551"/>
      <c r="I108" s="1314">
        <v>92</v>
      </c>
      <c r="J108" s="1315"/>
      <c r="K108" s="539"/>
      <c r="L108" s="540"/>
      <c r="M108" s="539"/>
      <c r="N108" s="547"/>
      <c r="O108" s="539"/>
      <c r="P108" s="547"/>
      <c r="Q108" s="539"/>
      <c r="R108" s="547"/>
      <c r="S108" s="22"/>
      <c r="T108" s="599"/>
      <c r="U108" s="637"/>
      <c r="V108" s="1"/>
      <c r="W108" s="1"/>
    </row>
    <row r="109" spans="1:23" customFormat="1" x14ac:dyDescent="0.2">
      <c r="A109" s="430"/>
      <c r="B109" s="844" t="s">
        <v>126</v>
      </c>
      <c r="C109" s="1314">
        <v>700</v>
      </c>
      <c r="D109" s="1315"/>
      <c r="E109" s="548"/>
      <c r="F109" s="549"/>
      <c r="G109" s="550"/>
      <c r="H109" s="551"/>
      <c r="I109" s="1314">
        <v>1259</v>
      </c>
      <c r="J109" s="1315"/>
      <c r="K109" s="539"/>
      <c r="L109" s="540"/>
      <c r="M109" s="539"/>
      <c r="N109" s="547"/>
      <c r="O109" s="539"/>
      <c r="P109" s="547"/>
      <c r="Q109" s="539"/>
      <c r="R109" s="547"/>
      <c r="S109" s="22"/>
      <c r="T109" s="599"/>
      <c r="U109" s="637"/>
      <c r="V109" s="1"/>
      <c r="W109" s="1"/>
    </row>
    <row r="110" spans="1:23" customFormat="1" x14ac:dyDescent="0.2">
      <c r="A110" s="430"/>
      <c r="B110" s="844" t="s">
        <v>135</v>
      </c>
      <c r="C110" s="1314">
        <f>SUM(C107:D109)</f>
        <v>1690</v>
      </c>
      <c r="D110" s="1315"/>
      <c r="E110" s="548"/>
      <c r="F110" s="549"/>
      <c r="G110" s="550"/>
      <c r="H110" s="551"/>
      <c r="I110" s="1314">
        <v>2546</v>
      </c>
      <c r="J110" s="1315"/>
      <c r="K110" s="539"/>
      <c r="L110" s="540"/>
      <c r="M110" s="539"/>
      <c r="N110" s="547"/>
      <c r="O110" s="539"/>
      <c r="P110" s="547"/>
      <c r="Q110" s="539"/>
      <c r="R110" s="547"/>
      <c r="S110" s="22"/>
      <c r="T110" s="599"/>
      <c r="U110" s="637"/>
      <c r="V110" s="1"/>
      <c r="W110" s="1"/>
    </row>
    <row r="111" spans="1:23" customFormat="1" ht="13.5" thickBot="1" x14ac:dyDescent="0.25">
      <c r="A111" s="430"/>
      <c r="B111" s="649" t="s">
        <v>131</v>
      </c>
      <c r="C111" s="1316"/>
      <c r="D111" s="1317"/>
      <c r="E111" s="545"/>
      <c r="F111" s="546"/>
      <c r="G111" s="531"/>
      <c r="H111" s="547"/>
      <c r="I111" s="1316"/>
      <c r="J111" s="1317"/>
      <c r="K111" s="539"/>
      <c r="L111" s="540"/>
      <c r="M111" s="539"/>
      <c r="N111" s="547"/>
      <c r="O111" s="539"/>
      <c r="P111" s="547"/>
      <c r="Q111" s="539"/>
      <c r="R111" s="547"/>
      <c r="S111" s="22"/>
      <c r="T111" s="599"/>
      <c r="U111" s="637"/>
      <c r="V111" s="22"/>
      <c r="W111" s="22"/>
    </row>
    <row r="112" spans="1:23" customFormat="1" x14ac:dyDescent="0.2">
      <c r="A112" s="430"/>
      <c r="B112" s="842" t="s">
        <v>132</v>
      </c>
      <c r="C112" s="1264">
        <f>C107/C100</f>
        <v>144</v>
      </c>
      <c r="D112" s="1265"/>
      <c r="E112" s="552"/>
      <c r="F112" s="553"/>
      <c r="G112" s="554"/>
      <c r="H112" s="555"/>
      <c r="I112" s="1264">
        <v>149</v>
      </c>
      <c r="J112" s="1265"/>
      <c r="K112" s="556"/>
      <c r="L112" s="557"/>
      <c r="M112" s="556"/>
      <c r="N112" s="555"/>
      <c r="O112" s="556"/>
      <c r="P112" s="555"/>
      <c r="Q112" s="556"/>
      <c r="R112" s="555"/>
      <c r="S112" s="626"/>
      <c r="T112" s="597"/>
      <c r="U112" s="637"/>
      <c r="V112" s="432"/>
      <c r="W112" s="432"/>
    </row>
    <row r="113" spans="1:23" customFormat="1" x14ac:dyDescent="0.2">
      <c r="A113" s="430"/>
      <c r="B113" s="844" t="s">
        <v>133</v>
      </c>
      <c r="C113" s="1264">
        <v>0</v>
      </c>
      <c r="D113" s="1265"/>
      <c r="E113" s="552"/>
      <c r="F113" s="553"/>
      <c r="G113" s="554"/>
      <c r="H113" s="555"/>
      <c r="I113" s="1264">
        <v>0</v>
      </c>
      <c r="J113" s="1265"/>
      <c r="K113" s="556"/>
      <c r="L113" s="557"/>
      <c r="M113" s="556"/>
      <c r="N113" s="555"/>
      <c r="O113" s="556"/>
      <c r="P113" s="555"/>
      <c r="Q113" s="556"/>
      <c r="R113" s="555"/>
      <c r="S113" s="626"/>
      <c r="T113" s="597"/>
      <c r="U113" s="637"/>
      <c r="V113" s="432"/>
      <c r="W113" s="432"/>
    </row>
    <row r="114" spans="1:23" customFormat="1" x14ac:dyDescent="0.2">
      <c r="A114" s="430"/>
      <c r="B114" s="844" t="s">
        <v>134</v>
      </c>
      <c r="C114" s="1264">
        <f>C109/C104</f>
        <v>123.8938053097345</v>
      </c>
      <c r="D114" s="1265"/>
      <c r="E114" s="552"/>
      <c r="F114" s="553"/>
      <c r="G114" s="554"/>
      <c r="H114" s="555"/>
      <c r="I114" s="1264">
        <v>206</v>
      </c>
      <c r="J114" s="1265"/>
      <c r="K114" s="556"/>
      <c r="L114" s="557"/>
      <c r="M114" s="556"/>
      <c r="N114" s="555"/>
      <c r="O114" s="556"/>
      <c r="P114" s="555"/>
      <c r="Q114" s="556"/>
      <c r="R114" s="555"/>
      <c r="S114" s="626"/>
      <c r="T114" s="597"/>
      <c r="U114" s="637"/>
      <c r="V114" s="432"/>
      <c r="W114" s="432"/>
    </row>
    <row r="115" spans="1:23" customFormat="1" ht="13.5" thickBot="1" x14ac:dyDescent="0.25">
      <c r="A115" s="430"/>
      <c r="B115" s="559" t="s">
        <v>127</v>
      </c>
      <c r="C115" s="1328">
        <f>C110/C105</f>
        <v>124.95378927911275</v>
      </c>
      <c r="D115" s="1329"/>
      <c r="E115" s="560"/>
      <c r="F115" s="561"/>
      <c r="G115" s="562"/>
      <c r="H115" s="563"/>
      <c r="I115" s="1328">
        <v>158</v>
      </c>
      <c r="J115" s="1329"/>
      <c r="K115" s="562"/>
      <c r="L115" s="563"/>
      <c r="M115" s="562"/>
      <c r="N115" s="563"/>
      <c r="O115" s="562"/>
      <c r="P115" s="563"/>
      <c r="Q115" s="562"/>
      <c r="R115" s="563"/>
      <c r="S115" s="626"/>
      <c r="T115" s="576"/>
      <c r="U115" s="637"/>
      <c r="V115" s="432"/>
      <c r="W115" s="432"/>
    </row>
    <row r="116" spans="1:23" ht="13.5" thickTop="1" x14ac:dyDescent="0.2">
      <c r="U116" s="627"/>
    </row>
  </sheetData>
  <mergeCells count="116">
    <mergeCell ref="K7:L7"/>
    <mergeCell ref="K25:L25"/>
    <mergeCell ref="K40:L40"/>
    <mergeCell ref="K64:L64"/>
    <mergeCell ref="K33:L33"/>
    <mergeCell ref="K36:L36"/>
    <mergeCell ref="K35:L35"/>
    <mergeCell ref="K34:L34"/>
    <mergeCell ref="M7:N7"/>
    <mergeCell ref="M25:N25"/>
    <mergeCell ref="M40:N40"/>
    <mergeCell ref="M64:N64"/>
    <mergeCell ref="M33:N33"/>
    <mergeCell ref="M36:N36"/>
    <mergeCell ref="M34:N34"/>
    <mergeCell ref="M35:N35"/>
    <mergeCell ref="E36:F36"/>
    <mergeCell ref="G36:H36"/>
    <mergeCell ref="I7:J7"/>
    <mergeCell ref="I25:J25"/>
    <mergeCell ref="I40:J40"/>
    <mergeCell ref="I64:J64"/>
    <mergeCell ref="I33:J33"/>
    <mergeCell ref="I36:J36"/>
    <mergeCell ref="I34:J34"/>
    <mergeCell ref="I35:J35"/>
    <mergeCell ref="C64:D64"/>
    <mergeCell ref="K93:L93"/>
    <mergeCell ref="C93:D93"/>
    <mergeCell ref="E93:F93"/>
    <mergeCell ref="G93:H93"/>
    <mergeCell ref="I93:J93"/>
    <mergeCell ref="C25:D25"/>
    <mergeCell ref="E25:F25"/>
    <mergeCell ref="C40:D40"/>
    <mergeCell ref="E40:F40"/>
    <mergeCell ref="C33:D33"/>
    <mergeCell ref="E33:F33"/>
    <mergeCell ref="C34:D34"/>
    <mergeCell ref="E34:F34"/>
    <mergeCell ref="C35:D35"/>
    <mergeCell ref="C36:D36"/>
    <mergeCell ref="G25:H25"/>
    <mergeCell ref="G40:H40"/>
    <mergeCell ref="G64:H64"/>
    <mergeCell ref="E64:F64"/>
    <mergeCell ref="G33:H33"/>
    <mergeCell ref="G34:H34"/>
    <mergeCell ref="E35:F35"/>
    <mergeCell ref="G35:H35"/>
    <mergeCell ref="T98:U98"/>
    <mergeCell ref="C100:D100"/>
    <mergeCell ref="I100:J100"/>
    <mergeCell ref="C98:D98"/>
    <mergeCell ref="E98:F98"/>
    <mergeCell ref="G98:H98"/>
    <mergeCell ref="I98:J98"/>
    <mergeCell ref="O98:P98"/>
    <mergeCell ref="K98:L98"/>
    <mergeCell ref="Q98:R98"/>
    <mergeCell ref="M98:N98"/>
    <mergeCell ref="I105:J105"/>
    <mergeCell ref="C106:D106"/>
    <mergeCell ref="I106:J106"/>
    <mergeCell ref="C103:D103"/>
    <mergeCell ref="I103:J103"/>
    <mergeCell ref="C104:D104"/>
    <mergeCell ref="I104:J104"/>
    <mergeCell ref="C101:D101"/>
    <mergeCell ref="I101:J101"/>
    <mergeCell ref="C102:D102"/>
    <mergeCell ref="I102:J102"/>
    <mergeCell ref="T7:U7"/>
    <mergeCell ref="T25:U25"/>
    <mergeCell ref="T40:U40"/>
    <mergeCell ref="T64:U64"/>
    <mergeCell ref="Q64:R64"/>
    <mergeCell ref="C115:D115"/>
    <mergeCell ref="I115:J115"/>
    <mergeCell ref="C113:D113"/>
    <mergeCell ref="I113:J113"/>
    <mergeCell ref="C114:D114"/>
    <mergeCell ref="I114:J114"/>
    <mergeCell ref="C111:D111"/>
    <mergeCell ref="I111:J111"/>
    <mergeCell ref="C112:D112"/>
    <mergeCell ref="I112:J112"/>
    <mergeCell ref="C109:D109"/>
    <mergeCell ref="I109:J109"/>
    <mergeCell ref="C110:D110"/>
    <mergeCell ref="I110:J110"/>
    <mergeCell ref="C107:D107"/>
    <mergeCell ref="I107:J107"/>
    <mergeCell ref="C108:D108"/>
    <mergeCell ref="I108:J108"/>
    <mergeCell ref="C105:D105"/>
    <mergeCell ref="T93:U93"/>
    <mergeCell ref="T33:U33"/>
    <mergeCell ref="O35:P35"/>
    <mergeCell ref="O36:P36"/>
    <mergeCell ref="O40:P40"/>
    <mergeCell ref="O64:P64"/>
    <mergeCell ref="O93:P93"/>
    <mergeCell ref="Q35:R35"/>
    <mergeCell ref="Q36:R36"/>
    <mergeCell ref="Q40:R40"/>
    <mergeCell ref="Q93:R93"/>
    <mergeCell ref="Q7:R7"/>
    <mergeCell ref="Q25:R25"/>
    <mergeCell ref="Q33:R33"/>
    <mergeCell ref="Q34:R34"/>
    <mergeCell ref="M93:N93"/>
    <mergeCell ref="O7:P7"/>
    <mergeCell ref="O25:P25"/>
    <mergeCell ref="O33:P33"/>
    <mergeCell ref="O34:P34"/>
  </mergeCells>
  <phoneticPr fontId="0" type="noConversion"/>
  <printOptions horizontalCentered="1"/>
  <pageMargins left="0.5" right="0.5" top="0.37" bottom="0.5" header="0.56999999999999995" footer="0.5"/>
  <pageSetup scale="69" orientation="landscape" horizontalDpi="4294967292" verticalDpi="4294967292" r:id="rId1"/>
  <headerFooter alignWithMargins="0">
    <oddFooter>&amp;R&amp;8&amp;P of &amp;N
&amp;D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Dean_Ed</vt:lpstr>
      <vt:lpstr>Curriculum &amp; Instruction</vt:lpstr>
      <vt:lpstr>Ed_Leader</vt:lpstr>
      <vt:lpstr>Spec_Ed, Couns &amp; Stu Affair</vt:lpstr>
      <vt:lpstr>ED Sum</vt:lpstr>
      <vt:lpstr>El_Ed "old"</vt:lpstr>
      <vt:lpstr>Sec_Ed "old"</vt:lpstr>
      <vt:lpstr>'Curriculum &amp; Instruction'!Print_Area</vt:lpstr>
      <vt:lpstr>Dean_Ed!Print_Area</vt:lpstr>
      <vt:lpstr>'ED Sum'!Print_Area</vt:lpstr>
      <vt:lpstr>Ed_Leader!Print_Area</vt:lpstr>
      <vt:lpstr>'El_Ed "old"'!Print_Area</vt:lpstr>
      <vt:lpstr>'Sec_Ed "old"'!Print_Area</vt:lpstr>
      <vt:lpstr>'Spec_Ed, Couns &amp; Stu Affair'!Print_Area</vt:lpstr>
      <vt:lpstr>Dean_Ed!Print_Titles</vt:lpstr>
      <vt:lpstr>'ED Sum'!Print_Titles</vt:lpstr>
      <vt:lpstr>Ed_Leader!Print_Titles</vt:lpstr>
      <vt:lpstr>'El_Ed "old"'!Print_Titles</vt:lpstr>
      <vt:lpstr>'Sec_Ed "old"'!Print_Titles</vt:lpstr>
      <vt:lpstr>'Spec_Ed, Couns &amp; Stu Affair'!Print_Titles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Stearns</dc:creator>
  <cp:lastModifiedBy>NancyBaker</cp:lastModifiedBy>
  <cp:lastPrinted>2014-12-18T20:17:17Z</cp:lastPrinted>
  <dcterms:created xsi:type="dcterms:W3CDTF">2008-07-02T19:49:42Z</dcterms:created>
  <dcterms:modified xsi:type="dcterms:W3CDTF">2014-12-18T20:17:53Z</dcterms:modified>
</cp:coreProperties>
</file>