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jbaker\Documents\PA\deptprofiles\"/>
    </mc:Choice>
  </mc:AlternateContent>
  <bookViews>
    <workbookView xWindow="0" yWindow="0" windowWidth="9525" windowHeight="10575" firstSheet="5" activeTab="5"/>
  </bookViews>
  <sheets>
    <sheet name="Dean_Bus" sheetId="3" state="hidden" r:id="rId1"/>
    <sheet name="Accounting" sheetId="1" state="hidden" r:id="rId2"/>
    <sheet name="Finance" sheetId="2" state="hidden" r:id="rId3"/>
    <sheet name="Managemt" sheetId="4" state="hidden" r:id="rId4"/>
    <sheet name="Marketing" sheetId="5" state="hidden" r:id="rId5"/>
    <sheet name="bus sum" sheetId="6" r:id="rId6"/>
  </sheets>
  <definedNames>
    <definedName name="_xlnm.Print_Area" localSheetId="1">Accounting!$A$1:$AC$111</definedName>
    <definedName name="_xlnm.Print_Area" localSheetId="5">'bus sum'!$A$1:$Z$117</definedName>
    <definedName name="_xlnm.Print_Area" localSheetId="0">Dean_Bus!$A$1:$AD$128</definedName>
    <definedName name="_xlnm.Print_Area" localSheetId="2">Finance!$A$1:$AC$124</definedName>
    <definedName name="_xlnm.Print_Area" localSheetId="3">Managemt!$A$1:$AD$117</definedName>
    <definedName name="_xlnm.Print_Area" localSheetId="4">Marketing!$A$1:$AD$109</definedName>
    <definedName name="_xlnm.Print_Titles" localSheetId="5">'bus sum'!$1:$1</definedName>
    <definedName name="_xlnm.Print_Titles" localSheetId="0">Dean_Bus!$1:$4</definedName>
    <definedName name="_xlnm.Print_Titles" localSheetId="2">Finance!$1:$3</definedName>
    <definedName name="_xlnm.Print_Titles" localSheetId="3">Managemt!$1:$2</definedName>
    <definedName name="_xlnm.Print_Titles" localSheetId="4">Marketing!$1:$3</definedName>
  </definedNames>
  <calcPr calcId="152511"/>
</workbook>
</file>

<file path=xl/calcChain.xml><?xml version="1.0" encoding="utf-8"?>
<calcChain xmlns="http://schemas.openxmlformats.org/spreadsheetml/2006/main">
  <c r="AC97" i="6" l="1"/>
  <c r="AC74" i="6"/>
  <c r="Z86" i="5"/>
  <c r="AC107" i="3" l="1"/>
  <c r="AB96" i="6" l="1"/>
  <c r="W49" i="6" l="1"/>
  <c r="W51" i="6" s="1"/>
  <c r="X49" i="6"/>
  <c r="X51" i="6" s="1"/>
  <c r="U49" i="6"/>
  <c r="V49" i="6"/>
  <c r="U51" i="6"/>
  <c r="V51" i="6"/>
  <c r="AC52" i="5"/>
  <c r="AC51" i="5"/>
  <c r="AC44" i="5"/>
  <c r="AC43" i="5"/>
  <c r="AC60" i="4"/>
  <c r="AC59" i="4"/>
  <c r="AC52" i="4"/>
  <c r="AC51" i="4"/>
  <c r="AC52" i="2"/>
  <c r="AC51" i="2"/>
  <c r="AC44" i="2"/>
  <c r="AC43" i="2"/>
  <c r="AC52" i="1"/>
  <c r="AC51" i="1"/>
  <c r="AC44" i="1"/>
  <c r="AC43" i="1"/>
  <c r="AC71" i="3"/>
  <c r="AC70" i="3"/>
  <c r="AC63" i="3"/>
  <c r="AC62" i="3"/>
  <c r="X59" i="6"/>
  <c r="AC59" i="6" s="1"/>
  <c r="X58" i="6"/>
  <c r="AC58" i="6" s="1"/>
  <c r="AC46" i="6"/>
  <c r="AC45" i="6"/>
  <c r="X45" i="6" l="1"/>
  <c r="X46" i="6"/>
  <c r="X24" i="6" l="1"/>
  <c r="X23" i="6"/>
  <c r="X22" i="6"/>
  <c r="X55" i="6"/>
  <c r="W55" i="6"/>
  <c r="X53" i="6"/>
  <c r="W53" i="6"/>
  <c r="X12" i="6" l="1"/>
  <c r="X15" i="6" l="1"/>
  <c r="X14" i="6"/>
  <c r="X13" i="6"/>
  <c r="X10" i="6"/>
  <c r="AC90" i="5" l="1"/>
  <c r="AB90" i="5"/>
  <c r="AC89" i="5"/>
  <c r="AB89" i="5"/>
  <c r="AC88" i="5"/>
  <c r="AB88" i="5"/>
  <c r="AB85" i="5"/>
  <c r="AB84" i="5"/>
  <c r="AB83" i="5"/>
  <c r="AB82" i="5"/>
  <c r="AB80" i="5"/>
  <c r="AB79" i="5"/>
  <c r="AB78" i="5"/>
  <c r="AB76" i="5"/>
  <c r="AB75" i="5"/>
  <c r="AB73" i="5"/>
  <c r="AB72" i="5"/>
  <c r="AB71" i="5"/>
  <c r="AB70" i="5"/>
  <c r="AB69" i="5"/>
  <c r="AB68" i="5"/>
  <c r="AB67" i="5"/>
  <c r="AB66" i="5"/>
  <c r="AC63" i="5"/>
  <c r="AC62" i="5"/>
  <c r="AC60" i="5"/>
  <c r="AC59" i="5"/>
  <c r="AC48" i="5"/>
  <c r="AB48" i="5"/>
  <c r="AC46" i="5"/>
  <c r="AB46" i="5"/>
  <c r="AC35" i="5"/>
  <c r="AC34" i="5"/>
  <c r="AC27" i="5"/>
  <c r="AC26" i="5"/>
  <c r="AC23" i="5"/>
  <c r="AC22" i="5"/>
  <c r="AC21" i="5"/>
  <c r="AC20" i="5"/>
  <c r="AC12" i="5"/>
  <c r="AB12" i="5"/>
  <c r="AC98" i="4"/>
  <c r="AB98" i="4"/>
  <c r="AC97" i="4"/>
  <c r="AB97" i="4"/>
  <c r="AC96" i="4"/>
  <c r="AB96" i="4"/>
  <c r="AB93" i="4"/>
  <c r="AB92" i="4"/>
  <c r="AB91" i="4"/>
  <c r="AB90" i="4"/>
  <c r="AB88" i="4"/>
  <c r="AB87" i="4"/>
  <c r="AB86" i="4"/>
  <c r="AB84" i="4"/>
  <c r="AB83" i="4"/>
  <c r="AB81" i="4"/>
  <c r="AB80" i="4"/>
  <c r="AB79" i="4"/>
  <c r="AB78" i="4"/>
  <c r="AB77" i="4"/>
  <c r="AB76" i="4"/>
  <c r="AB75" i="4"/>
  <c r="AB74" i="4"/>
  <c r="AC71" i="4"/>
  <c r="AC70" i="4"/>
  <c r="AC68" i="4"/>
  <c r="AC67" i="4"/>
  <c r="AC56" i="4"/>
  <c r="AB56" i="4"/>
  <c r="AC54" i="4"/>
  <c r="AB54" i="4"/>
  <c r="AC42" i="4"/>
  <c r="AC40" i="4"/>
  <c r="AC34" i="4"/>
  <c r="AC33" i="4"/>
  <c r="AC32" i="4"/>
  <c r="AC29" i="4"/>
  <c r="AC28" i="4"/>
  <c r="AC27" i="4"/>
  <c r="AC26" i="4"/>
  <c r="AC16" i="4"/>
  <c r="AB16" i="4"/>
  <c r="AC13" i="4"/>
  <c r="AB13" i="4"/>
  <c r="AC11" i="4"/>
  <c r="AB11" i="4"/>
  <c r="AC90" i="2"/>
  <c r="AB90" i="2"/>
  <c r="AC89" i="2"/>
  <c r="AB89" i="2"/>
  <c r="AC88" i="2"/>
  <c r="AB88" i="2"/>
  <c r="AB85" i="2"/>
  <c r="AB84" i="2"/>
  <c r="AB83" i="2"/>
  <c r="AB82" i="2"/>
  <c r="AB80" i="2"/>
  <c r="AB79" i="2"/>
  <c r="AB78" i="2"/>
  <c r="AB76" i="2"/>
  <c r="AB75" i="2"/>
  <c r="AB73" i="2"/>
  <c r="AB72" i="2"/>
  <c r="AB71" i="2"/>
  <c r="AB70" i="2"/>
  <c r="AB69" i="2"/>
  <c r="AB68" i="2"/>
  <c r="AB67" i="2"/>
  <c r="AB66" i="2"/>
  <c r="AC63" i="2"/>
  <c r="AC62" i="2"/>
  <c r="AC60" i="2"/>
  <c r="AC59" i="2"/>
  <c r="AC48" i="2"/>
  <c r="AB48" i="2"/>
  <c r="AC46" i="2"/>
  <c r="AB46" i="2"/>
  <c r="AC34" i="2"/>
  <c r="AC32" i="2"/>
  <c r="AC26" i="2"/>
  <c r="AC25" i="2"/>
  <c r="AC24" i="2"/>
  <c r="AC21" i="2"/>
  <c r="AC20" i="2"/>
  <c r="AC19" i="2"/>
  <c r="AC18" i="2"/>
  <c r="AC12" i="2"/>
  <c r="AB12" i="2"/>
  <c r="AC92" i="1"/>
  <c r="AB92" i="1"/>
  <c r="AC91" i="1"/>
  <c r="AB91" i="1"/>
  <c r="AC90" i="1"/>
  <c r="AB90" i="1"/>
  <c r="AB87" i="1"/>
  <c r="AB86" i="1"/>
  <c r="AB85" i="1"/>
  <c r="AB84" i="1"/>
  <c r="AB82" i="1"/>
  <c r="AB81" i="1"/>
  <c r="AB80" i="1"/>
  <c r="AB78" i="1"/>
  <c r="AB77" i="1"/>
  <c r="AB75" i="1"/>
  <c r="AB74" i="1"/>
  <c r="AB73" i="1"/>
  <c r="AB72" i="1"/>
  <c r="AB71" i="1"/>
  <c r="AB70" i="1"/>
  <c r="AB69" i="1"/>
  <c r="AB68" i="1"/>
  <c r="AC65" i="1"/>
  <c r="AC64" i="1"/>
  <c r="AC62" i="1"/>
  <c r="AC61" i="1"/>
  <c r="AC48" i="1"/>
  <c r="AB48" i="1"/>
  <c r="AC46" i="1"/>
  <c r="AB46" i="1"/>
  <c r="AC34" i="1"/>
  <c r="AC32" i="1"/>
  <c r="AC25" i="1"/>
  <c r="AC24" i="1"/>
  <c r="AC21" i="1"/>
  <c r="AC20" i="1"/>
  <c r="AC19" i="1"/>
  <c r="AC18" i="1"/>
  <c r="AC11" i="1"/>
  <c r="AC12" i="1"/>
  <c r="AB12" i="1"/>
  <c r="AB11" i="1"/>
  <c r="AC109" i="3"/>
  <c r="AB109" i="3"/>
  <c r="AC108" i="3"/>
  <c r="AB108" i="3"/>
  <c r="AB107" i="3"/>
  <c r="AB104" i="3"/>
  <c r="AB103" i="3"/>
  <c r="AB102" i="3"/>
  <c r="AB101" i="3"/>
  <c r="AB99" i="3"/>
  <c r="AB98" i="3"/>
  <c r="AB97" i="3"/>
  <c r="AB95" i="3"/>
  <c r="AB94" i="3"/>
  <c r="AB92" i="3"/>
  <c r="AB91" i="3"/>
  <c r="AB90" i="3"/>
  <c r="AB89" i="3"/>
  <c r="AB88" i="3"/>
  <c r="AB87" i="3"/>
  <c r="AB86" i="3"/>
  <c r="AB85" i="3"/>
  <c r="AC82" i="3"/>
  <c r="AC81" i="3"/>
  <c r="AC79" i="3"/>
  <c r="AC78" i="3"/>
  <c r="AC67" i="3"/>
  <c r="AB67" i="3"/>
  <c r="AC65" i="3"/>
  <c r="AB65" i="3"/>
  <c r="AC59" i="3"/>
  <c r="AC54" i="3"/>
  <c r="AC52" i="3"/>
  <c r="AC44" i="3"/>
  <c r="AC45" i="3"/>
  <c r="AC41" i="3"/>
  <c r="AC40" i="3"/>
  <c r="AC39" i="3"/>
  <c r="AC38" i="3"/>
  <c r="AB32" i="3"/>
  <c r="AB30" i="3"/>
  <c r="AB28" i="3"/>
  <c r="AC26" i="3"/>
  <c r="AB26" i="3"/>
  <c r="AC24" i="3"/>
  <c r="AB24" i="3"/>
  <c r="AC22" i="3"/>
  <c r="AB22" i="3"/>
  <c r="AC20" i="3"/>
  <c r="AB20" i="3"/>
  <c r="AC16" i="3"/>
  <c r="AB16" i="3"/>
  <c r="AB14" i="3"/>
  <c r="AB13" i="3"/>
  <c r="AC14" i="3"/>
  <c r="AC13" i="3"/>
  <c r="AC12" i="3"/>
  <c r="AB12" i="3"/>
  <c r="AC55" i="6"/>
  <c r="AB55" i="6"/>
  <c r="AC53" i="6"/>
  <c r="AB53" i="6"/>
  <c r="AC51" i="6"/>
  <c r="AB51" i="6"/>
  <c r="AC49" i="6"/>
  <c r="AB49" i="6"/>
  <c r="AC29" i="6"/>
  <c r="AC28" i="6"/>
  <c r="AC15" i="6"/>
  <c r="AC14" i="6"/>
  <c r="AC13" i="6"/>
  <c r="AC12" i="6"/>
  <c r="AC11" i="6"/>
  <c r="AC10" i="6"/>
  <c r="Z42" i="3"/>
  <c r="Z46" i="3"/>
  <c r="AC46" i="3" s="1"/>
  <c r="Z55" i="3"/>
  <c r="AC55" i="3" s="1"/>
  <c r="Z59" i="3"/>
  <c r="Z83" i="3"/>
  <c r="Z85" i="3" s="1"/>
  <c r="AC85" i="3" s="1"/>
  <c r="Z92" i="3"/>
  <c r="AC92" i="3" s="1"/>
  <c r="Z95" i="3"/>
  <c r="AC95" i="3" s="1"/>
  <c r="Z98" i="3"/>
  <c r="AC98" i="3" s="1"/>
  <c r="Z103" i="3"/>
  <c r="AC103" i="3" s="1"/>
  <c r="Z22" i="1"/>
  <c r="Z26" i="1"/>
  <c r="AC26" i="1" s="1"/>
  <c r="Z35" i="1"/>
  <c r="AC35" i="1" s="1"/>
  <c r="Z40" i="1"/>
  <c r="Z66" i="1"/>
  <c r="Z74" i="1" s="1"/>
  <c r="AC74" i="1" s="1"/>
  <c r="Z81" i="1"/>
  <c r="AC81" i="1" s="1"/>
  <c r="Z22" i="2"/>
  <c r="Z26" i="2"/>
  <c r="Z35" i="2"/>
  <c r="AC35" i="2" s="1"/>
  <c r="Z40" i="2"/>
  <c r="Z64" i="2"/>
  <c r="Z66" i="2" s="1"/>
  <c r="AC66" i="2" s="1"/>
  <c r="Z30" i="4"/>
  <c r="Y34" i="4"/>
  <c r="AB34" i="4" s="1"/>
  <c r="Z43" i="4"/>
  <c r="AC43" i="4" s="1"/>
  <c r="Z48" i="4"/>
  <c r="Z72" i="4"/>
  <c r="AC72" i="4" s="1"/>
  <c r="Z78" i="4"/>
  <c r="AC78" i="4" s="1"/>
  <c r="Z80" i="4"/>
  <c r="AC80" i="4" s="1"/>
  <c r="Z83" i="4"/>
  <c r="AC83" i="4" s="1"/>
  <c r="Z84" i="4"/>
  <c r="AC84" i="4" s="1"/>
  <c r="Z86" i="4"/>
  <c r="AC86" i="4" s="1"/>
  <c r="Z90" i="4"/>
  <c r="AC90" i="4" s="1"/>
  <c r="Z91" i="4"/>
  <c r="AC91" i="4" s="1"/>
  <c r="Z92" i="4"/>
  <c r="AC92" i="4" s="1"/>
  <c r="Z93" i="4"/>
  <c r="AC93" i="4" s="1"/>
  <c r="Z24" i="5"/>
  <c r="Z28" i="5"/>
  <c r="AC28" i="5" s="1"/>
  <c r="Z36" i="5"/>
  <c r="AC36" i="5" s="1"/>
  <c r="Z40" i="5"/>
  <c r="Z64" i="5"/>
  <c r="Z66" i="5" s="1"/>
  <c r="AC66" i="5" s="1"/>
  <c r="Z67" i="5"/>
  <c r="AC67" i="5" s="1"/>
  <c r="Z79" i="5"/>
  <c r="AC79" i="5" s="1"/>
  <c r="Z84" i="5"/>
  <c r="AC84" i="5" s="1"/>
  <c r="Y10" i="6"/>
  <c r="AB10" i="6" s="1"/>
  <c r="Y11" i="6"/>
  <c r="Y12" i="6"/>
  <c r="AB12" i="6" s="1"/>
  <c r="Y13" i="6"/>
  <c r="AB13" i="6" s="1"/>
  <c r="Y14" i="6"/>
  <c r="AB14" i="6" s="1"/>
  <c r="Y15" i="6"/>
  <c r="AB15" i="6" s="1"/>
  <c r="Z22" i="6"/>
  <c r="Z23" i="6"/>
  <c r="Z24" i="6"/>
  <c r="Z25" i="6"/>
  <c r="Z26" i="6"/>
  <c r="Z30" i="6"/>
  <c r="AC30" i="6" s="1"/>
  <c r="Z36" i="6"/>
  <c r="AC36" i="6" s="1"/>
  <c r="Z37" i="6"/>
  <c r="AC37" i="6" s="1"/>
  <c r="Z42" i="6"/>
  <c r="Z67" i="6"/>
  <c r="AC67" i="6" s="1"/>
  <c r="Z68" i="6"/>
  <c r="AC68" i="6" s="1"/>
  <c r="Z70" i="6"/>
  <c r="AC70" i="6" s="1"/>
  <c r="Z71" i="6"/>
  <c r="AC71" i="6" s="1"/>
  <c r="Y74" i="6"/>
  <c r="AB74" i="6" s="1"/>
  <c r="Y75" i="6"/>
  <c r="AB75" i="6" s="1"/>
  <c r="Y76" i="6"/>
  <c r="AB76" i="6" s="1"/>
  <c r="Y77" i="6"/>
  <c r="AB77" i="6" s="1"/>
  <c r="Y78" i="6"/>
  <c r="AB78" i="6" s="1"/>
  <c r="Y79" i="6"/>
  <c r="AB79" i="6" s="1"/>
  <c r="Y80" i="6"/>
  <c r="AB80" i="6" s="1"/>
  <c r="Y81" i="6"/>
  <c r="AB81" i="6" s="1"/>
  <c r="Y83" i="6"/>
  <c r="AB83" i="6" s="1"/>
  <c r="Y84" i="6"/>
  <c r="AB84" i="6" s="1"/>
  <c r="Y86" i="6"/>
  <c r="AB86" i="6" s="1"/>
  <c r="Y87" i="6"/>
  <c r="AB87" i="6" s="1"/>
  <c r="Y88" i="6"/>
  <c r="AB88" i="6" s="1"/>
  <c r="Y90" i="6"/>
  <c r="AB90" i="6" s="1"/>
  <c r="Y91" i="6"/>
  <c r="AB91" i="6" s="1"/>
  <c r="Y92" i="6"/>
  <c r="AB92" i="6" s="1"/>
  <c r="Y93" i="6"/>
  <c r="AB93" i="6" s="1"/>
  <c r="Y96" i="6"/>
  <c r="Z96" i="6"/>
  <c r="AC96" i="6" s="1"/>
  <c r="Y97" i="6"/>
  <c r="AB97" i="6" s="1"/>
  <c r="Z97" i="6"/>
  <c r="Y98" i="6"/>
  <c r="AB98" i="6" s="1"/>
  <c r="Z98" i="6"/>
  <c r="AC98" i="6" s="1"/>
  <c r="Z82" i="5" l="1"/>
  <c r="AC82" i="5" s="1"/>
  <c r="Z76" i="5"/>
  <c r="AC76" i="5" s="1"/>
  <c r="Z73" i="5"/>
  <c r="AC73" i="5" s="1"/>
  <c r="Z71" i="5"/>
  <c r="AC71" i="5" s="1"/>
  <c r="Z69" i="5"/>
  <c r="AC69" i="5" s="1"/>
  <c r="AC64" i="5"/>
  <c r="Z81" i="4"/>
  <c r="AC81" i="4" s="1"/>
  <c r="Z88" i="4"/>
  <c r="AC88" i="4" s="1"/>
  <c r="Z77" i="4"/>
  <c r="AC77" i="4" s="1"/>
  <c r="Z87" i="4"/>
  <c r="AC87" i="4" s="1"/>
  <c r="Z76" i="4"/>
  <c r="AC76" i="4" s="1"/>
  <c r="Z79" i="4"/>
  <c r="AC79" i="4" s="1"/>
  <c r="Z75" i="4"/>
  <c r="AC75" i="4" s="1"/>
  <c r="Z74" i="4"/>
  <c r="AC74" i="4" s="1"/>
  <c r="Z73" i="2"/>
  <c r="AC73" i="2" s="1"/>
  <c r="Z69" i="2"/>
  <c r="AC69" i="2" s="1"/>
  <c r="Z84" i="2"/>
  <c r="AC84" i="2" s="1"/>
  <c r="AC64" i="2"/>
  <c r="Z79" i="2"/>
  <c r="AC79" i="2" s="1"/>
  <c r="Z86" i="1"/>
  <c r="AC86" i="1" s="1"/>
  <c r="Z82" i="1"/>
  <c r="AC82" i="1" s="1"/>
  <c r="Z78" i="1"/>
  <c r="AC78" i="1" s="1"/>
  <c r="Z73" i="1"/>
  <c r="AC73" i="1" s="1"/>
  <c r="Z72" i="1"/>
  <c r="AC72" i="1" s="1"/>
  <c r="Z71" i="1"/>
  <c r="AC71" i="1" s="1"/>
  <c r="Z75" i="1"/>
  <c r="AC75" i="1" s="1"/>
  <c r="AC66" i="1"/>
  <c r="Z84" i="1"/>
  <c r="AC84" i="1" s="1"/>
  <c r="Z69" i="1"/>
  <c r="AC69" i="1" s="1"/>
  <c r="Z80" i="1"/>
  <c r="AC80" i="1" s="1"/>
  <c r="Z70" i="1"/>
  <c r="AC70" i="1" s="1"/>
  <c r="Z87" i="1"/>
  <c r="AC87" i="1" s="1"/>
  <c r="Z77" i="1"/>
  <c r="AC77" i="1" s="1"/>
  <c r="Z68" i="1"/>
  <c r="AC68" i="1" s="1"/>
  <c r="Z85" i="1"/>
  <c r="AC85" i="1" s="1"/>
  <c r="Z90" i="3"/>
  <c r="AC90" i="3" s="1"/>
  <c r="Z88" i="3"/>
  <c r="AC88" i="3" s="1"/>
  <c r="Z86" i="3"/>
  <c r="AC86" i="3" s="1"/>
  <c r="Z101" i="3"/>
  <c r="AC101" i="3" s="1"/>
  <c r="Z41" i="5"/>
  <c r="AC41" i="5" s="1"/>
  <c r="Z49" i="4"/>
  <c r="AC49" i="4" s="1"/>
  <c r="Z41" i="1"/>
  <c r="AC41" i="1" s="1"/>
  <c r="Z38" i="6"/>
  <c r="Z82" i="2"/>
  <c r="AC82" i="2" s="1"/>
  <c r="Z76" i="2"/>
  <c r="AC76" i="2" s="1"/>
  <c r="Z71" i="2"/>
  <c r="AC71" i="2" s="1"/>
  <c r="Z67" i="2"/>
  <c r="AC67" i="2" s="1"/>
  <c r="Z41" i="2"/>
  <c r="AC41" i="2" s="1"/>
  <c r="Z72" i="6"/>
  <c r="AC72" i="6" s="1"/>
  <c r="Z60" i="3"/>
  <c r="AC60" i="3" s="1"/>
  <c r="AC83" i="3"/>
  <c r="Z85" i="5"/>
  <c r="AC85" i="5" s="1"/>
  <c r="Z83" i="5"/>
  <c r="AC83" i="5" s="1"/>
  <c r="Z80" i="5"/>
  <c r="AC80" i="5" s="1"/>
  <c r="Z78" i="5"/>
  <c r="AC78" i="5" s="1"/>
  <c r="Z75" i="5"/>
  <c r="AC75" i="5" s="1"/>
  <c r="Z72" i="5"/>
  <c r="AC72" i="5" s="1"/>
  <c r="Z70" i="5"/>
  <c r="AC70" i="5" s="1"/>
  <c r="Z68" i="5"/>
  <c r="AC68" i="5" s="1"/>
  <c r="Z85" i="2"/>
  <c r="AC85" i="2" s="1"/>
  <c r="Z83" i="2"/>
  <c r="AC83" i="2" s="1"/>
  <c r="Z80" i="2"/>
  <c r="AC80" i="2" s="1"/>
  <c r="Z78" i="2"/>
  <c r="AC78" i="2" s="1"/>
  <c r="Z75" i="2"/>
  <c r="AC75" i="2" s="1"/>
  <c r="Z72" i="2"/>
  <c r="AC72" i="2" s="1"/>
  <c r="Z70" i="2"/>
  <c r="AC70" i="2" s="1"/>
  <c r="Z68" i="2"/>
  <c r="AC68" i="2" s="1"/>
  <c r="AC104" i="3"/>
  <c r="Z102" i="3"/>
  <c r="AC102" i="3" s="1"/>
  <c r="Z99" i="3"/>
  <c r="AC99" i="3" s="1"/>
  <c r="Z97" i="3"/>
  <c r="AC97" i="3" s="1"/>
  <c r="Z94" i="3"/>
  <c r="AC94" i="3" s="1"/>
  <c r="Z91" i="3"/>
  <c r="AC91" i="3" s="1"/>
  <c r="Z89" i="3"/>
  <c r="AC89" i="3" s="1"/>
  <c r="Z87" i="3"/>
  <c r="AC87" i="3" s="1"/>
  <c r="Z91" i="6" l="1"/>
  <c r="AC91" i="6" s="1"/>
  <c r="Z86" i="6"/>
  <c r="AC86" i="6" s="1"/>
  <c r="Z76" i="6"/>
  <c r="AC76" i="6" s="1"/>
  <c r="Z80" i="6"/>
  <c r="AC80" i="6" s="1"/>
  <c r="AC38" i="6"/>
  <c r="Z43" i="6"/>
  <c r="AC43" i="6" s="1"/>
  <c r="Z74" i="6"/>
  <c r="Z78" i="6"/>
  <c r="AC78" i="6" s="1"/>
  <c r="Z83" i="6"/>
  <c r="AC83" i="6" s="1"/>
  <c r="Z88" i="6"/>
  <c r="AC88" i="6" s="1"/>
  <c r="Z93" i="6"/>
  <c r="AC93" i="6" s="1"/>
  <c r="Z75" i="6"/>
  <c r="AC75" i="6" s="1"/>
  <c r="Z79" i="6"/>
  <c r="AC79" i="6" s="1"/>
  <c r="Z84" i="6"/>
  <c r="AC84" i="6" s="1"/>
  <c r="Z90" i="6"/>
  <c r="AC90" i="6" s="1"/>
  <c r="Z77" i="6"/>
  <c r="AC77" i="6" s="1"/>
  <c r="Z81" i="6"/>
  <c r="AC81" i="6" s="1"/>
  <c r="Z87" i="6"/>
  <c r="AC87" i="6" s="1"/>
  <c r="Z92" i="6"/>
  <c r="AC92" i="6" s="1"/>
  <c r="V58" i="6" l="1"/>
  <c r="V59" i="6"/>
  <c r="V45" i="6" l="1"/>
  <c r="V46" i="6"/>
  <c r="W12" i="6" l="1"/>
  <c r="AB18" i="3"/>
  <c r="AB17" i="3"/>
  <c r="V55" i="6" l="1"/>
  <c r="U55" i="6"/>
  <c r="V53" i="6"/>
  <c r="U53" i="6"/>
  <c r="V114" i="6" l="1"/>
  <c r="V113" i="6"/>
  <c r="V110" i="6"/>
  <c r="V105" i="6"/>
  <c r="V106" i="6" s="1"/>
  <c r="V106" i="5"/>
  <c r="V105" i="5"/>
  <c r="V102" i="5"/>
  <c r="V103" i="5" s="1"/>
  <c r="V108" i="5" s="1"/>
  <c r="V98" i="5"/>
  <c r="V97" i="5"/>
  <c r="V114" i="4"/>
  <c r="V113" i="4"/>
  <c r="V110" i="4"/>
  <c r="V115" i="4" s="1"/>
  <c r="V105" i="4"/>
  <c r="V106" i="4" s="1"/>
  <c r="V106" i="2"/>
  <c r="V105" i="2"/>
  <c r="V102" i="2"/>
  <c r="V107" i="2" s="1"/>
  <c r="V97" i="2"/>
  <c r="V98" i="2" s="1"/>
  <c r="V108" i="1"/>
  <c r="V107" i="1"/>
  <c r="V104" i="1"/>
  <c r="V109" i="1" s="1"/>
  <c r="V100" i="1"/>
  <c r="V99" i="1"/>
  <c r="V124" i="3"/>
  <c r="V122" i="3"/>
  <c r="V121" i="3"/>
  <c r="V126" i="3" s="1"/>
  <c r="V117" i="3"/>
  <c r="V116" i="3"/>
  <c r="V127" i="3" l="1"/>
  <c r="V105" i="1"/>
  <c r="V110" i="1" s="1"/>
  <c r="V111" i="4"/>
  <c r="V116" i="4" s="1"/>
  <c r="V107" i="5"/>
  <c r="V103" i="2"/>
  <c r="V108" i="2" s="1"/>
  <c r="V115" i="6"/>
  <c r="V111" i="6"/>
  <c r="V116" i="6" s="1"/>
  <c r="W10" i="6"/>
  <c r="V15" i="6"/>
  <c r="V14" i="6"/>
  <c r="V13" i="6"/>
  <c r="V12" i="6"/>
  <c r="V10" i="6"/>
  <c r="W11" i="6"/>
  <c r="W13" i="6"/>
  <c r="W14" i="6"/>
  <c r="W15" i="6"/>
  <c r="AC22" i="6"/>
  <c r="AC23" i="6"/>
  <c r="AC24" i="6"/>
  <c r="X25" i="6"/>
  <c r="AC25" i="6" s="1"/>
  <c r="X30" i="6"/>
  <c r="X36" i="6"/>
  <c r="X37" i="6"/>
  <c r="X42" i="6"/>
  <c r="X67" i="6"/>
  <c r="X68" i="6"/>
  <c r="X70" i="6"/>
  <c r="X71" i="6"/>
  <c r="W74" i="6"/>
  <c r="W75" i="6"/>
  <c r="W76" i="6"/>
  <c r="W77" i="6"/>
  <c r="W78" i="6"/>
  <c r="W79" i="6"/>
  <c r="W80" i="6"/>
  <c r="W81" i="6"/>
  <c r="W83" i="6"/>
  <c r="W84" i="6"/>
  <c r="W86" i="6"/>
  <c r="W87" i="6"/>
  <c r="W88" i="6"/>
  <c r="W90" i="6"/>
  <c r="W91" i="6"/>
  <c r="W92" i="6"/>
  <c r="W93" i="6"/>
  <c r="W96" i="6"/>
  <c r="X96" i="6"/>
  <c r="W97" i="6"/>
  <c r="X97" i="6"/>
  <c r="W98" i="6"/>
  <c r="X98" i="6"/>
  <c r="X24" i="5"/>
  <c r="AC24" i="5" s="1"/>
  <c r="X28" i="5"/>
  <c r="X36" i="5"/>
  <c r="X40" i="5"/>
  <c r="X41" i="5"/>
  <c r="X64" i="5"/>
  <c r="X66" i="5" s="1"/>
  <c r="X69" i="5"/>
  <c r="X73" i="5"/>
  <c r="X79" i="5"/>
  <c r="X83" i="5"/>
  <c r="X84" i="5"/>
  <c r="X85" i="5"/>
  <c r="X30" i="4"/>
  <c r="AC30" i="4" s="1"/>
  <c r="W34" i="4"/>
  <c r="X43" i="4"/>
  <c r="X48" i="4"/>
  <c r="X49" i="4" s="1"/>
  <c r="X72" i="4"/>
  <c r="X74" i="4" s="1"/>
  <c r="X22" i="2"/>
  <c r="AC22" i="2" s="1"/>
  <c r="X26" i="2"/>
  <c r="X35" i="2"/>
  <c r="X40" i="2"/>
  <c r="X64" i="2"/>
  <c r="X67" i="2" s="1"/>
  <c r="X22" i="1"/>
  <c r="AC22" i="1" s="1"/>
  <c r="X26" i="1"/>
  <c r="X35" i="1"/>
  <c r="X40" i="1"/>
  <c r="X41" i="1" s="1"/>
  <c r="X66" i="1"/>
  <c r="X68" i="1" s="1"/>
  <c r="AC18" i="3"/>
  <c r="AC17" i="3"/>
  <c r="X42" i="3"/>
  <c r="AC42" i="3" s="1"/>
  <c r="X46" i="3"/>
  <c r="X55" i="3"/>
  <c r="X59" i="3"/>
  <c r="X60" i="3"/>
  <c r="X83" i="3"/>
  <c r="X85" i="3" s="1"/>
  <c r="X82" i="5" l="1"/>
  <c r="X76" i="5"/>
  <c r="X71" i="5"/>
  <c r="X67" i="5"/>
  <c r="X84" i="2"/>
  <c r="X73" i="2"/>
  <c r="X80" i="5"/>
  <c r="X78" i="5"/>
  <c r="X75" i="5"/>
  <c r="X72" i="5"/>
  <c r="X70" i="5"/>
  <c r="X68" i="5"/>
  <c r="X79" i="2"/>
  <c r="X69" i="2"/>
  <c r="X103" i="3"/>
  <c r="X88" i="3"/>
  <c r="X41" i="2"/>
  <c r="X38" i="6"/>
  <c r="X86" i="1"/>
  <c r="X85" i="2"/>
  <c r="X80" i="2"/>
  <c r="X75" i="2"/>
  <c r="X70" i="2"/>
  <c r="X66" i="2"/>
  <c r="X72" i="6"/>
  <c r="X92" i="6" s="1"/>
  <c r="X43" i="6"/>
  <c r="X26" i="6"/>
  <c r="AC26" i="6" s="1"/>
  <c r="X92" i="4"/>
  <c r="X87" i="4"/>
  <c r="X81" i="4"/>
  <c r="X77" i="4"/>
  <c r="X91" i="4"/>
  <c r="X86" i="4"/>
  <c r="X80" i="4"/>
  <c r="X76" i="4"/>
  <c r="X90" i="4"/>
  <c r="X84" i="4"/>
  <c r="X79" i="4"/>
  <c r="X75" i="4"/>
  <c r="X93" i="4"/>
  <c r="X88" i="4"/>
  <c r="X83" i="4"/>
  <c r="X78" i="4"/>
  <c r="X83" i="2"/>
  <c r="X78" i="2"/>
  <c r="X72" i="2"/>
  <c r="X68" i="2"/>
  <c r="X82" i="2"/>
  <c r="X76" i="2"/>
  <c r="X71" i="2"/>
  <c r="X81" i="1"/>
  <c r="X75" i="1"/>
  <c r="X71" i="1"/>
  <c r="X85" i="1"/>
  <c r="X80" i="1"/>
  <c r="X74" i="1"/>
  <c r="X70" i="1"/>
  <c r="X84" i="1"/>
  <c r="X78" i="1"/>
  <c r="X73" i="1"/>
  <c r="X69" i="1"/>
  <c r="X87" i="1"/>
  <c r="X82" i="1"/>
  <c r="X77" i="1"/>
  <c r="X72" i="1"/>
  <c r="X98" i="3"/>
  <c r="X92" i="3"/>
  <c r="X102" i="3"/>
  <c r="X97" i="3"/>
  <c r="X91" i="3"/>
  <c r="X87" i="3"/>
  <c r="X101" i="3"/>
  <c r="X95" i="3"/>
  <c r="X90" i="3"/>
  <c r="X86" i="3"/>
  <c r="X104" i="3"/>
  <c r="X99" i="3"/>
  <c r="X94" i="3"/>
  <c r="X89" i="3"/>
  <c r="T13" i="6"/>
  <c r="U13" i="6"/>
  <c r="V25" i="6"/>
  <c r="V24" i="6"/>
  <c r="V23" i="6"/>
  <c r="V22" i="6"/>
  <c r="V24" i="5"/>
  <c r="V30" i="4"/>
  <c r="V22" i="2"/>
  <c r="V22" i="1"/>
  <c r="V42" i="3"/>
  <c r="V98" i="6"/>
  <c r="U98" i="6"/>
  <c r="V97" i="6"/>
  <c r="U97" i="6"/>
  <c r="V96" i="6"/>
  <c r="U96" i="6"/>
  <c r="T45" i="6"/>
  <c r="T46" i="6"/>
  <c r="U93" i="6"/>
  <c r="U92" i="6"/>
  <c r="U91" i="6"/>
  <c r="U90" i="6"/>
  <c r="U88" i="6"/>
  <c r="U87" i="6"/>
  <c r="U86" i="6"/>
  <c r="U84" i="6"/>
  <c r="U83" i="6"/>
  <c r="U81" i="6"/>
  <c r="U80" i="6"/>
  <c r="U79" i="6"/>
  <c r="U78" i="6"/>
  <c r="U77" i="6"/>
  <c r="U76" i="6"/>
  <c r="U75" i="6"/>
  <c r="U74" i="6"/>
  <c r="V71" i="6"/>
  <c r="V70" i="6"/>
  <c r="V68" i="6"/>
  <c r="V67" i="6"/>
  <c r="T53" i="6"/>
  <c r="S53" i="6"/>
  <c r="T49" i="6"/>
  <c r="T51" i="6" s="1"/>
  <c r="S49" i="6"/>
  <c r="S51" i="6" s="1"/>
  <c r="T58" i="6"/>
  <c r="T59" i="6"/>
  <c r="U13" i="3"/>
  <c r="V28" i="5"/>
  <c r="V30" i="6"/>
  <c r="U10" i="6"/>
  <c r="U11" i="6"/>
  <c r="U14" i="6"/>
  <c r="U15" i="6"/>
  <c r="V37" i="6"/>
  <c r="V36" i="6"/>
  <c r="V55" i="3"/>
  <c r="V26" i="1"/>
  <c r="V35" i="1"/>
  <c r="V40" i="1"/>
  <c r="V41" i="1"/>
  <c r="V66" i="1"/>
  <c r="V68" i="1"/>
  <c r="V26" i="2"/>
  <c r="V35" i="2"/>
  <c r="V40" i="2"/>
  <c r="AC40" i="2" s="1"/>
  <c r="V41" i="2"/>
  <c r="V64" i="2"/>
  <c r="V66" i="2"/>
  <c r="V76" i="2"/>
  <c r="V80" i="2"/>
  <c r="V82" i="2"/>
  <c r="V83" i="2"/>
  <c r="V84" i="2"/>
  <c r="V85" i="2"/>
  <c r="U34" i="4"/>
  <c r="V43" i="4"/>
  <c r="V48" i="4"/>
  <c r="AC48" i="4" s="1"/>
  <c r="V49" i="4"/>
  <c r="V72" i="4"/>
  <c r="V74" i="4"/>
  <c r="V83" i="4"/>
  <c r="V84" i="4"/>
  <c r="V86" i="4"/>
  <c r="V87" i="4"/>
  <c r="V88" i="4"/>
  <c r="V90" i="4"/>
  <c r="V91" i="4"/>
  <c r="V92" i="4"/>
  <c r="V93" i="4"/>
  <c r="V36" i="5"/>
  <c r="V40" i="5"/>
  <c r="AC40" i="5" s="1"/>
  <c r="V41" i="5"/>
  <c r="V64" i="5"/>
  <c r="V66" i="5"/>
  <c r="V73" i="5"/>
  <c r="V76" i="5"/>
  <c r="V78" i="5"/>
  <c r="V79" i="5"/>
  <c r="V80" i="5"/>
  <c r="V82" i="5"/>
  <c r="V83" i="5"/>
  <c r="V84" i="5"/>
  <c r="V85" i="5"/>
  <c r="V46" i="3"/>
  <c r="V59" i="3"/>
  <c r="V60" i="3" s="1"/>
  <c r="V83" i="3"/>
  <c r="V86" i="3"/>
  <c r="V42" i="6"/>
  <c r="S102" i="3"/>
  <c r="S99" i="3"/>
  <c r="S95" i="3"/>
  <c r="S94" i="3"/>
  <c r="S85" i="3"/>
  <c r="S87" i="1"/>
  <c r="S86" i="1"/>
  <c r="S85" i="1"/>
  <c r="S84" i="1"/>
  <c r="S82" i="1"/>
  <c r="S81" i="1"/>
  <c r="S80" i="1"/>
  <c r="S78" i="1"/>
  <c r="S77" i="1"/>
  <c r="S75" i="1"/>
  <c r="S74" i="1"/>
  <c r="S73" i="1"/>
  <c r="S72" i="1"/>
  <c r="S71" i="1"/>
  <c r="S70" i="1"/>
  <c r="S69" i="1"/>
  <c r="S68" i="1"/>
  <c r="S84" i="2"/>
  <c r="S82" i="2"/>
  <c r="S80" i="2"/>
  <c r="S78" i="2"/>
  <c r="S75" i="2"/>
  <c r="S66" i="2"/>
  <c r="S85" i="2"/>
  <c r="S83" i="2"/>
  <c r="S79" i="2"/>
  <c r="S76" i="2"/>
  <c r="S73" i="2"/>
  <c r="S72" i="2"/>
  <c r="S71" i="2"/>
  <c r="S70" i="2"/>
  <c r="S69" i="2"/>
  <c r="S68" i="2"/>
  <c r="S67" i="2"/>
  <c r="S93" i="4"/>
  <c r="S92" i="4"/>
  <c r="S91" i="4"/>
  <c r="S90" i="4"/>
  <c r="S88" i="4"/>
  <c r="S87" i="4"/>
  <c r="S86" i="4"/>
  <c r="S84" i="4"/>
  <c r="S83" i="4"/>
  <c r="S81" i="4"/>
  <c r="S80" i="4"/>
  <c r="S79" i="4"/>
  <c r="S78" i="4"/>
  <c r="S77" i="4"/>
  <c r="S76" i="4"/>
  <c r="S75" i="4"/>
  <c r="S74" i="4"/>
  <c r="S83" i="5"/>
  <c r="S80" i="5"/>
  <c r="S76" i="5"/>
  <c r="S67" i="5"/>
  <c r="S66" i="5"/>
  <c r="S85" i="5"/>
  <c r="S84" i="5"/>
  <c r="S82" i="5"/>
  <c r="S79" i="5"/>
  <c r="S78" i="5"/>
  <c r="S75" i="5"/>
  <c r="S73" i="5"/>
  <c r="S72" i="5"/>
  <c r="S71" i="5"/>
  <c r="S70" i="5"/>
  <c r="S69" i="5"/>
  <c r="S68" i="5"/>
  <c r="T64" i="5"/>
  <c r="T84" i="5"/>
  <c r="T78" i="5"/>
  <c r="T73" i="5"/>
  <c r="T71" i="5"/>
  <c r="T69" i="5"/>
  <c r="T67" i="5"/>
  <c r="T72" i="4"/>
  <c r="T84" i="4" s="1"/>
  <c r="T79" i="4"/>
  <c r="T75" i="4"/>
  <c r="T64" i="2"/>
  <c r="T85" i="2" s="1"/>
  <c r="T84" i="2"/>
  <c r="T83" i="2"/>
  <c r="T82" i="2"/>
  <c r="T80" i="2"/>
  <c r="T79" i="2"/>
  <c r="T78" i="2"/>
  <c r="T76" i="2"/>
  <c r="T75" i="2"/>
  <c r="T73" i="2"/>
  <c r="T72" i="2"/>
  <c r="T71" i="2"/>
  <c r="T70" i="2"/>
  <c r="T69" i="2"/>
  <c r="T68" i="2"/>
  <c r="T67" i="2"/>
  <c r="T66" i="2"/>
  <c r="T66" i="1"/>
  <c r="T87" i="1"/>
  <c r="T86" i="1"/>
  <c r="T85" i="1"/>
  <c r="T84" i="1"/>
  <c r="T82" i="1"/>
  <c r="T81" i="1"/>
  <c r="T80" i="1"/>
  <c r="T78" i="1"/>
  <c r="T77" i="1"/>
  <c r="T75" i="1"/>
  <c r="T74" i="1"/>
  <c r="T73" i="1"/>
  <c r="T72" i="1"/>
  <c r="T71" i="1"/>
  <c r="T70" i="1"/>
  <c r="T69" i="1"/>
  <c r="T68" i="1"/>
  <c r="Q49" i="6"/>
  <c r="Q51" i="6" s="1"/>
  <c r="R49" i="6"/>
  <c r="R51" i="6" s="1"/>
  <c r="Q53" i="6"/>
  <c r="Q55" i="6" s="1"/>
  <c r="R53" i="6"/>
  <c r="R55" i="6" s="1"/>
  <c r="T40" i="5"/>
  <c r="T36" i="5"/>
  <c r="T41" i="5" s="1"/>
  <c r="T48" i="4"/>
  <c r="T43" i="4"/>
  <c r="T49" i="4"/>
  <c r="T35" i="2"/>
  <c r="T40" i="2"/>
  <c r="T41" i="2" s="1"/>
  <c r="T40" i="1"/>
  <c r="T35" i="1"/>
  <c r="T41" i="1" s="1"/>
  <c r="T54" i="3"/>
  <c r="T37" i="6" s="1"/>
  <c r="T52" i="3"/>
  <c r="T55" i="3" s="1"/>
  <c r="T60" i="3" s="1"/>
  <c r="T59" i="3"/>
  <c r="S15" i="6"/>
  <c r="S30" i="6"/>
  <c r="L15" i="6"/>
  <c r="J15" i="6"/>
  <c r="P15" i="6"/>
  <c r="R15" i="6"/>
  <c r="N15" i="6"/>
  <c r="P14" i="6"/>
  <c r="R14" i="6"/>
  <c r="N14" i="6"/>
  <c r="L13" i="6"/>
  <c r="J13" i="6"/>
  <c r="P13" i="6"/>
  <c r="R13" i="6"/>
  <c r="N13" i="6"/>
  <c r="L12" i="6"/>
  <c r="J12" i="6"/>
  <c r="P12" i="6"/>
  <c r="R12" i="6"/>
  <c r="N12" i="6"/>
  <c r="R10" i="6"/>
  <c r="N10" i="6"/>
  <c r="K15" i="6"/>
  <c r="Q15" i="6"/>
  <c r="O15" i="6"/>
  <c r="M14" i="6"/>
  <c r="K14" i="6"/>
  <c r="S14" i="6"/>
  <c r="Q14" i="6"/>
  <c r="O14" i="6"/>
  <c r="M13" i="6"/>
  <c r="K13" i="6"/>
  <c r="S13" i="6"/>
  <c r="Q13" i="6"/>
  <c r="O13" i="6"/>
  <c r="K12" i="6"/>
  <c r="S12" i="6"/>
  <c r="Q12" i="6"/>
  <c r="O12" i="6"/>
  <c r="R59" i="6"/>
  <c r="R58" i="6"/>
  <c r="R46" i="6"/>
  <c r="R45" i="6"/>
  <c r="S10" i="6"/>
  <c r="T10" i="6"/>
  <c r="S11" i="6"/>
  <c r="T12" i="6"/>
  <c r="T14" i="6"/>
  <c r="T15" i="6"/>
  <c r="T22" i="6"/>
  <c r="T23" i="6"/>
  <c r="T24" i="6"/>
  <c r="T25" i="6"/>
  <c r="T36" i="6"/>
  <c r="T42" i="6"/>
  <c r="T67" i="6"/>
  <c r="T68" i="6"/>
  <c r="T70" i="6"/>
  <c r="T71" i="6"/>
  <c r="S75" i="6"/>
  <c r="S77" i="6"/>
  <c r="S79" i="6"/>
  <c r="S81" i="6"/>
  <c r="S84" i="6"/>
  <c r="S87" i="6"/>
  <c r="S90" i="6"/>
  <c r="S92" i="6"/>
  <c r="S96" i="6"/>
  <c r="T96" i="6"/>
  <c r="S97" i="6"/>
  <c r="T97" i="6"/>
  <c r="S98" i="6"/>
  <c r="T98" i="6"/>
  <c r="S28" i="5"/>
  <c r="T24" i="5"/>
  <c r="S34" i="4"/>
  <c r="T30" i="4"/>
  <c r="T26" i="2"/>
  <c r="T22" i="2"/>
  <c r="T26" i="1"/>
  <c r="T22" i="1"/>
  <c r="T46" i="3"/>
  <c r="T42" i="3"/>
  <c r="T83" i="3"/>
  <c r="T103" i="3" s="1"/>
  <c r="I108" i="6"/>
  <c r="I105" i="6"/>
  <c r="I102" i="6"/>
  <c r="I101" i="6"/>
  <c r="R25" i="6"/>
  <c r="R24" i="6"/>
  <c r="R23" i="6"/>
  <c r="R22" i="6"/>
  <c r="P58" i="6"/>
  <c r="P59" i="6"/>
  <c r="Q96" i="6"/>
  <c r="R96" i="6"/>
  <c r="Q97" i="6"/>
  <c r="R97" i="6"/>
  <c r="Q98" i="6"/>
  <c r="R98" i="6"/>
  <c r="Q80" i="6"/>
  <c r="Q74" i="6"/>
  <c r="Q75" i="6"/>
  <c r="Q76" i="6"/>
  <c r="Q77" i="6"/>
  <c r="Q78" i="6"/>
  <c r="Q79" i="6"/>
  <c r="Q81" i="6"/>
  <c r="Q83" i="6"/>
  <c r="Q84" i="6"/>
  <c r="Q86" i="6"/>
  <c r="Q87" i="6"/>
  <c r="Q88" i="6"/>
  <c r="Q90" i="6"/>
  <c r="Q91" i="6"/>
  <c r="Q92" i="6"/>
  <c r="Q93" i="6"/>
  <c r="R71" i="6"/>
  <c r="R70" i="6"/>
  <c r="R68" i="6"/>
  <c r="R67" i="6"/>
  <c r="O49" i="6"/>
  <c r="O51" i="6" s="1"/>
  <c r="P49" i="6"/>
  <c r="P51" i="6" s="1"/>
  <c r="O53" i="6"/>
  <c r="O55" i="6" s="1"/>
  <c r="P53" i="6"/>
  <c r="P55" i="6" s="1"/>
  <c r="P45" i="6"/>
  <c r="P46" i="6"/>
  <c r="G46" i="3"/>
  <c r="I46" i="3"/>
  <c r="L46" i="3"/>
  <c r="N46" i="3"/>
  <c r="P46" i="3"/>
  <c r="R46" i="3"/>
  <c r="Q30" i="6"/>
  <c r="Q28" i="5"/>
  <c r="Q34" i="4"/>
  <c r="R26" i="1"/>
  <c r="P12" i="5"/>
  <c r="P16" i="4"/>
  <c r="P11" i="4"/>
  <c r="P12" i="2"/>
  <c r="P11" i="1"/>
  <c r="P103" i="6"/>
  <c r="P104" i="6"/>
  <c r="P105" i="6"/>
  <c r="P108" i="6"/>
  <c r="P109" i="6"/>
  <c r="P101" i="6"/>
  <c r="P110" i="4"/>
  <c r="P111" i="4" s="1"/>
  <c r="A1" i="1"/>
  <c r="P104" i="1"/>
  <c r="B124" i="2"/>
  <c r="B117" i="4"/>
  <c r="B109" i="5"/>
  <c r="P107" i="5"/>
  <c r="P105" i="5"/>
  <c r="P103" i="5"/>
  <c r="P98" i="5"/>
  <c r="P115" i="4"/>
  <c r="P113" i="4"/>
  <c r="P106" i="4"/>
  <c r="P107" i="2"/>
  <c r="P105" i="2"/>
  <c r="P103" i="2"/>
  <c r="P98" i="2"/>
  <c r="B111" i="1"/>
  <c r="P109" i="1"/>
  <c r="P108" i="1"/>
  <c r="P107" i="1"/>
  <c r="P105" i="1"/>
  <c r="P100" i="1"/>
  <c r="B128" i="3"/>
  <c r="P126" i="3"/>
  <c r="C126" i="3"/>
  <c r="C125" i="3"/>
  <c r="P124" i="3"/>
  <c r="C124" i="3"/>
  <c r="P122" i="3"/>
  <c r="C122" i="3"/>
  <c r="P117" i="3"/>
  <c r="P106" i="6" s="1"/>
  <c r="C117" i="3"/>
  <c r="C127" i="3" s="1"/>
  <c r="R42" i="6"/>
  <c r="R37" i="6"/>
  <c r="R36" i="6"/>
  <c r="Q10" i="6"/>
  <c r="K10" i="6"/>
  <c r="Q11" i="6"/>
  <c r="A1" i="5"/>
  <c r="A1" i="4"/>
  <c r="A1" i="2"/>
  <c r="R42" i="3"/>
  <c r="R55" i="3"/>
  <c r="R59" i="3"/>
  <c r="R60" i="3"/>
  <c r="R83" i="3"/>
  <c r="R22" i="1"/>
  <c r="R35" i="1"/>
  <c r="R40" i="1"/>
  <c r="R41" i="1" s="1"/>
  <c r="R66" i="1"/>
  <c r="R74" i="1" s="1"/>
  <c r="O11" i="1"/>
  <c r="P26" i="1"/>
  <c r="R22" i="2"/>
  <c r="R35" i="2"/>
  <c r="R40" i="2"/>
  <c r="R41" i="2" s="1"/>
  <c r="R64" i="2"/>
  <c r="R72" i="2" s="1"/>
  <c r="R30" i="4"/>
  <c r="R43" i="4"/>
  <c r="R48" i="4"/>
  <c r="R72" i="4"/>
  <c r="R80" i="4" s="1"/>
  <c r="R93" i="4"/>
  <c r="R24" i="5"/>
  <c r="R36" i="5"/>
  <c r="R40" i="5"/>
  <c r="R41" i="5"/>
  <c r="R64" i="5"/>
  <c r="R72" i="5"/>
  <c r="L23" i="6"/>
  <c r="J23" i="6"/>
  <c r="H23" i="6"/>
  <c r="P23" i="6"/>
  <c r="N23" i="6"/>
  <c r="L24" i="6"/>
  <c r="J24" i="6"/>
  <c r="H24" i="6"/>
  <c r="P24" i="6"/>
  <c r="N24" i="6"/>
  <c r="L25" i="6"/>
  <c r="J25" i="6"/>
  <c r="H25" i="6"/>
  <c r="P25" i="6"/>
  <c r="N25" i="6"/>
  <c r="L22" i="6"/>
  <c r="J22" i="6"/>
  <c r="H22" i="6"/>
  <c r="P22" i="6"/>
  <c r="N22" i="6"/>
  <c r="M12" i="2"/>
  <c r="M28" i="3"/>
  <c r="M12" i="3"/>
  <c r="N46" i="6"/>
  <c r="N45" i="6"/>
  <c r="P54" i="3"/>
  <c r="P52" i="3"/>
  <c r="P55" i="3"/>
  <c r="N59" i="6"/>
  <c r="N58" i="6"/>
  <c r="I104" i="6"/>
  <c r="I109" i="6"/>
  <c r="I110" i="6"/>
  <c r="N98" i="6"/>
  <c r="L98" i="6"/>
  <c r="J98" i="6"/>
  <c r="H98" i="6"/>
  <c r="P98" i="6"/>
  <c r="N97" i="6"/>
  <c r="L97" i="6"/>
  <c r="J97" i="6"/>
  <c r="H97" i="6"/>
  <c r="P97" i="6"/>
  <c r="N96" i="6"/>
  <c r="L96" i="6"/>
  <c r="J96" i="6"/>
  <c r="H96" i="6"/>
  <c r="P96" i="6"/>
  <c r="M98" i="6"/>
  <c r="K98" i="6"/>
  <c r="I98" i="6"/>
  <c r="G98" i="6"/>
  <c r="O98" i="6"/>
  <c r="M97" i="6"/>
  <c r="K97" i="6"/>
  <c r="I97" i="6"/>
  <c r="G97" i="6"/>
  <c r="O97" i="6"/>
  <c r="M96" i="6"/>
  <c r="K96" i="6"/>
  <c r="I96" i="6"/>
  <c r="G96" i="6"/>
  <c r="O96" i="6"/>
  <c r="M76" i="6"/>
  <c r="K76" i="6"/>
  <c r="I76" i="6"/>
  <c r="G76" i="6"/>
  <c r="O76" i="6"/>
  <c r="N67" i="6"/>
  <c r="N68" i="6"/>
  <c r="N70" i="6"/>
  <c r="N71" i="6"/>
  <c r="L67" i="6"/>
  <c r="L68" i="6"/>
  <c r="L70" i="6"/>
  <c r="L71" i="6"/>
  <c r="J67" i="6"/>
  <c r="J68" i="6"/>
  <c r="J70" i="6"/>
  <c r="J71" i="6"/>
  <c r="H67" i="6"/>
  <c r="H68" i="6"/>
  <c r="H70" i="6"/>
  <c r="H71" i="6"/>
  <c r="P67" i="6"/>
  <c r="P68" i="6"/>
  <c r="P70" i="6"/>
  <c r="P71" i="6"/>
  <c r="M77" i="6"/>
  <c r="K77" i="6"/>
  <c r="I77" i="6"/>
  <c r="G77" i="6"/>
  <c r="O77" i="6"/>
  <c r="M78" i="6"/>
  <c r="K78" i="6"/>
  <c r="I78" i="6"/>
  <c r="G78" i="6"/>
  <c r="O78" i="6"/>
  <c r="M79" i="6"/>
  <c r="K79" i="6"/>
  <c r="I79" i="6"/>
  <c r="G79" i="6"/>
  <c r="O79" i="6"/>
  <c r="M81" i="6"/>
  <c r="K81" i="6"/>
  <c r="I81" i="6"/>
  <c r="G81" i="6"/>
  <c r="O81" i="6"/>
  <c r="K83" i="6"/>
  <c r="I83" i="6"/>
  <c r="G83" i="6"/>
  <c r="O83" i="6"/>
  <c r="K84" i="6"/>
  <c r="I84" i="6"/>
  <c r="G84" i="6"/>
  <c r="O84" i="6"/>
  <c r="K86" i="6"/>
  <c r="I86" i="6"/>
  <c r="G86" i="6"/>
  <c r="O86" i="6"/>
  <c r="M87" i="6"/>
  <c r="K87" i="6"/>
  <c r="I87" i="6"/>
  <c r="G87" i="6"/>
  <c r="O87" i="6"/>
  <c r="K88" i="6"/>
  <c r="I88" i="6"/>
  <c r="G88" i="6"/>
  <c r="O88" i="6"/>
  <c r="K90" i="6"/>
  <c r="I90" i="6"/>
  <c r="G90" i="6"/>
  <c r="O90" i="6"/>
  <c r="K91" i="6"/>
  <c r="I91" i="6"/>
  <c r="G91" i="6"/>
  <c r="O91" i="6"/>
  <c r="M92" i="6"/>
  <c r="K92" i="6"/>
  <c r="I92" i="6"/>
  <c r="G92" i="6"/>
  <c r="O92" i="6"/>
  <c r="M93" i="6"/>
  <c r="K93" i="6"/>
  <c r="I93" i="6"/>
  <c r="G93" i="6"/>
  <c r="O93" i="6"/>
  <c r="M75" i="6"/>
  <c r="K75" i="6"/>
  <c r="I75" i="6"/>
  <c r="G75" i="6"/>
  <c r="O75" i="6"/>
  <c r="K74" i="6"/>
  <c r="I74" i="6"/>
  <c r="G74" i="6"/>
  <c r="O74" i="6"/>
  <c r="L58" i="6"/>
  <c r="J58" i="6"/>
  <c r="H58" i="6"/>
  <c r="F58" i="6"/>
  <c r="N53" i="6"/>
  <c r="L53" i="6"/>
  <c r="L55" i="6" s="1"/>
  <c r="J53" i="6"/>
  <c r="J55" i="6" s="1"/>
  <c r="H53" i="6"/>
  <c r="H55" i="6" s="1"/>
  <c r="F53" i="6"/>
  <c r="F55" i="6" s="1"/>
  <c r="M53" i="6"/>
  <c r="M55" i="6" s="1"/>
  <c r="K53" i="6"/>
  <c r="K55" i="6" s="1"/>
  <c r="I53" i="6"/>
  <c r="I55" i="6" s="1"/>
  <c r="G53" i="6"/>
  <c r="G55" i="6" s="1"/>
  <c r="E53" i="6"/>
  <c r="E55" i="6" s="1"/>
  <c r="M49" i="6"/>
  <c r="M51" i="6" s="1"/>
  <c r="K49" i="6"/>
  <c r="K51" i="6" s="1"/>
  <c r="I49" i="6"/>
  <c r="I51" i="6" s="1"/>
  <c r="G49" i="6"/>
  <c r="G51" i="6" s="1"/>
  <c r="E49" i="6"/>
  <c r="E51" i="6" s="1"/>
  <c r="L59" i="6"/>
  <c r="J59" i="6"/>
  <c r="H59" i="6"/>
  <c r="F59" i="6"/>
  <c r="N49" i="6"/>
  <c r="N51" i="6" s="1"/>
  <c r="L49" i="6"/>
  <c r="J49" i="6"/>
  <c r="J51" i="6" s="1"/>
  <c r="H49" i="6"/>
  <c r="H51" i="6" s="1"/>
  <c r="F49" i="6"/>
  <c r="F51" i="6" s="1"/>
  <c r="F46" i="6"/>
  <c r="L46" i="6"/>
  <c r="J46" i="6"/>
  <c r="H46" i="6"/>
  <c r="F45" i="6"/>
  <c r="J45" i="6"/>
  <c r="H45" i="6"/>
  <c r="P36" i="6"/>
  <c r="P37" i="6"/>
  <c r="M11" i="6"/>
  <c r="K11" i="6"/>
  <c r="I11" i="6"/>
  <c r="G11" i="6"/>
  <c r="O11" i="6"/>
  <c r="I12" i="6"/>
  <c r="G12" i="6"/>
  <c r="I13" i="6"/>
  <c r="G13" i="6"/>
  <c r="I14" i="6"/>
  <c r="G14" i="6"/>
  <c r="I15" i="6"/>
  <c r="G15" i="6"/>
  <c r="I10" i="6"/>
  <c r="G10" i="6"/>
  <c r="E32" i="3"/>
  <c r="O30" i="6"/>
  <c r="P42" i="6"/>
  <c r="P64" i="5"/>
  <c r="P68" i="5" s="1"/>
  <c r="P67" i="5"/>
  <c r="P36" i="5"/>
  <c r="P24" i="5"/>
  <c r="O28" i="5"/>
  <c r="P40" i="5"/>
  <c r="P41" i="5" s="1"/>
  <c r="P72" i="4"/>
  <c r="P76" i="4" s="1"/>
  <c r="P78" i="4"/>
  <c r="P81" i="4"/>
  <c r="P84" i="4"/>
  <c r="P87" i="4"/>
  <c r="P90" i="4"/>
  <c r="P92" i="4"/>
  <c r="P75" i="4"/>
  <c r="P74" i="4"/>
  <c r="P43" i="4"/>
  <c r="P48" i="4"/>
  <c r="P49" i="4"/>
  <c r="N43" i="4"/>
  <c r="N48" i="4"/>
  <c r="L43" i="4"/>
  <c r="L48" i="4"/>
  <c r="L49" i="4"/>
  <c r="J43" i="4"/>
  <c r="J48" i="4"/>
  <c r="J49" i="4" s="1"/>
  <c r="H43" i="4"/>
  <c r="H48" i="4"/>
  <c r="H49" i="4" s="1"/>
  <c r="P30" i="4"/>
  <c r="O34" i="4"/>
  <c r="P64" i="2"/>
  <c r="P68" i="2"/>
  <c r="P69" i="2"/>
  <c r="P71" i="2"/>
  <c r="P75" i="2"/>
  <c r="P78" i="2"/>
  <c r="P80" i="2"/>
  <c r="P83" i="2"/>
  <c r="P85" i="2"/>
  <c r="P66" i="2"/>
  <c r="P35" i="2"/>
  <c r="P40" i="2"/>
  <c r="P41" i="2" s="1"/>
  <c r="N35" i="2"/>
  <c r="N40" i="2"/>
  <c r="N41" i="2" s="1"/>
  <c r="L35" i="2"/>
  <c r="L40" i="2"/>
  <c r="L41" i="2" s="1"/>
  <c r="J35" i="2"/>
  <c r="J41" i="2" s="1"/>
  <c r="J40" i="2"/>
  <c r="H35" i="2"/>
  <c r="H40" i="2"/>
  <c r="H41" i="2" s="1"/>
  <c r="P26" i="2"/>
  <c r="P22" i="2"/>
  <c r="P35" i="1"/>
  <c r="P40" i="1"/>
  <c r="P41" i="1" s="1"/>
  <c r="N35" i="1"/>
  <c r="N40" i="1"/>
  <c r="N41" i="1" s="1"/>
  <c r="L35" i="1"/>
  <c r="L40" i="1"/>
  <c r="L41" i="1" s="1"/>
  <c r="J35" i="1"/>
  <c r="J40" i="1"/>
  <c r="H35" i="1"/>
  <c r="H40" i="1"/>
  <c r="H41" i="1" s="1"/>
  <c r="P66" i="1"/>
  <c r="P70" i="1" s="1"/>
  <c r="P71" i="1"/>
  <c r="P82" i="1"/>
  <c r="P22" i="1"/>
  <c r="P83" i="3"/>
  <c r="P87" i="3"/>
  <c r="P90" i="3"/>
  <c r="P95" i="3"/>
  <c r="P98" i="3"/>
  <c r="P101" i="3"/>
  <c r="P103" i="3"/>
  <c r="P86" i="3"/>
  <c r="P42" i="3"/>
  <c r="P59" i="3"/>
  <c r="P60" i="3" s="1"/>
  <c r="H12" i="6"/>
  <c r="F12" i="6"/>
  <c r="H13" i="6"/>
  <c r="F13" i="6"/>
  <c r="H14" i="6"/>
  <c r="F14" i="6"/>
  <c r="H15" i="6"/>
  <c r="F15" i="6"/>
  <c r="H10" i="6"/>
  <c r="F10" i="6"/>
  <c r="F67" i="6"/>
  <c r="D59" i="6"/>
  <c r="D58" i="6"/>
  <c r="C53" i="6"/>
  <c r="C55" i="6" s="1"/>
  <c r="D53" i="6"/>
  <c r="D55" i="6" s="1"/>
  <c r="C49" i="6"/>
  <c r="C51" i="6" s="1"/>
  <c r="D49" i="6"/>
  <c r="D51" i="6" s="1"/>
  <c r="D46" i="6"/>
  <c r="D62" i="3"/>
  <c r="L62" i="3"/>
  <c r="N52" i="3"/>
  <c r="N54" i="3"/>
  <c r="N42" i="6"/>
  <c r="L52" i="3"/>
  <c r="L54" i="3"/>
  <c r="L37" i="6" s="1"/>
  <c r="L42" i="6"/>
  <c r="J52" i="3"/>
  <c r="J36" i="6" s="1"/>
  <c r="J54" i="3"/>
  <c r="J37" i="6" s="1"/>
  <c r="J42" i="6"/>
  <c r="H52" i="3"/>
  <c r="H54" i="3"/>
  <c r="H37" i="6" s="1"/>
  <c r="H42" i="6"/>
  <c r="F52" i="3"/>
  <c r="F36" i="6" s="1"/>
  <c r="F54" i="3"/>
  <c r="F37" i="6" s="1"/>
  <c r="F42" i="6"/>
  <c r="F24" i="6"/>
  <c r="D24" i="6"/>
  <c r="F23" i="6"/>
  <c r="D23" i="6"/>
  <c r="D10" i="6"/>
  <c r="C102" i="6"/>
  <c r="N83" i="3"/>
  <c r="L83" i="3"/>
  <c r="J83" i="3"/>
  <c r="H83" i="3"/>
  <c r="F83" i="3"/>
  <c r="N103" i="3"/>
  <c r="N98" i="3"/>
  <c r="N92" i="3"/>
  <c r="N89" i="3"/>
  <c r="F88" i="3"/>
  <c r="N86" i="3"/>
  <c r="F86" i="3"/>
  <c r="N59" i="3"/>
  <c r="L59" i="3"/>
  <c r="J59" i="3"/>
  <c r="H59" i="3"/>
  <c r="F59" i="3"/>
  <c r="C96" i="6"/>
  <c r="D96" i="6"/>
  <c r="E96" i="6"/>
  <c r="F96" i="6"/>
  <c r="C97" i="6"/>
  <c r="D97" i="6"/>
  <c r="E97" i="6"/>
  <c r="F97" i="6"/>
  <c r="C98" i="6"/>
  <c r="D98" i="6"/>
  <c r="E98" i="6"/>
  <c r="F98" i="6"/>
  <c r="L51" i="4"/>
  <c r="C101" i="6"/>
  <c r="E93" i="6"/>
  <c r="F68" i="6"/>
  <c r="F70" i="6"/>
  <c r="F71" i="6"/>
  <c r="E92" i="6"/>
  <c r="M91" i="4"/>
  <c r="E91" i="6"/>
  <c r="M90" i="4"/>
  <c r="E90" i="6"/>
  <c r="M88" i="4"/>
  <c r="E88" i="6"/>
  <c r="E87" i="6"/>
  <c r="E86" i="6"/>
  <c r="M84" i="4"/>
  <c r="E84" i="6"/>
  <c r="M83" i="4"/>
  <c r="E83" i="6"/>
  <c r="E81" i="6"/>
  <c r="E79" i="6"/>
  <c r="E78" i="6"/>
  <c r="E77" i="6"/>
  <c r="E76" i="6"/>
  <c r="E75" i="6"/>
  <c r="M74" i="4"/>
  <c r="E74" i="6"/>
  <c r="F22" i="6"/>
  <c r="D22" i="6"/>
  <c r="D13" i="3"/>
  <c r="D12" i="6" s="1"/>
  <c r="L11" i="4"/>
  <c r="J11" i="4"/>
  <c r="M16" i="4"/>
  <c r="E30" i="3"/>
  <c r="E28" i="3"/>
  <c r="E11" i="4"/>
  <c r="E16" i="4"/>
  <c r="E13" i="6"/>
  <c r="D13" i="6"/>
  <c r="E14" i="6"/>
  <c r="L16" i="3"/>
  <c r="D14" i="6"/>
  <c r="M14" i="3"/>
  <c r="M15" i="6" s="1"/>
  <c r="E15" i="6"/>
  <c r="D15" i="6"/>
  <c r="M13" i="3"/>
  <c r="M12" i="6" s="1"/>
  <c r="E12" i="6"/>
  <c r="C110" i="6"/>
  <c r="C109" i="6"/>
  <c r="C108" i="6"/>
  <c r="C105" i="6"/>
  <c r="C104" i="6"/>
  <c r="M30" i="6"/>
  <c r="K30" i="6"/>
  <c r="I30" i="6"/>
  <c r="G30" i="6"/>
  <c r="E30" i="6"/>
  <c r="C30" i="6"/>
  <c r="C28" i="5"/>
  <c r="E28" i="5"/>
  <c r="G28" i="5"/>
  <c r="I28" i="5"/>
  <c r="K28" i="5"/>
  <c r="M28" i="5"/>
  <c r="I103" i="5"/>
  <c r="I98" i="5"/>
  <c r="C103" i="5"/>
  <c r="C98" i="5"/>
  <c r="C108" i="5"/>
  <c r="I107" i="5"/>
  <c r="C107" i="5"/>
  <c r="I106" i="5"/>
  <c r="C106" i="5"/>
  <c r="I105" i="5"/>
  <c r="C105" i="5"/>
  <c r="I111" i="4"/>
  <c r="I106" i="4"/>
  <c r="I116" i="4" s="1"/>
  <c r="I115" i="4"/>
  <c r="I114" i="4"/>
  <c r="I113" i="4"/>
  <c r="C111" i="4"/>
  <c r="C106" i="4"/>
  <c r="C115" i="4"/>
  <c r="C114" i="4"/>
  <c r="C113" i="4"/>
  <c r="M34" i="4"/>
  <c r="K34" i="4"/>
  <c r="E34" i="4"/>
  <c r="G34" i="4"/>
  <c r="I34" i="4"/>
  <c r="C34" i="4"/>
  <c r="L30" i="4"/>
  <c r="J30" i="4"/>
  <c r="H30" i="4"/>
  <c r="F30" i="4"/>
  <c r="D30" i="4"/>
  <c r="F43" i="4"/>
  <c r="F48" i="4"/>
  <c r="F49" i="4"/>
  <c r="D51" i="4"/>
  <c r="N72" i="4"/>
  <c r="N78" i="4" s="1"/>
  <c r="L72" i="4"/>
  <c r="L84" i="4"/>
  <c r="J72" i="4"/>
  <c r="J74" i="4"/>
  <c r="F72" i="4"/>
  <c r="F74" i="4"/>
  <c r="H74" i="4"/>
  <c r="N75" i="4"/>
  <c r="J75" i="4"/>
  <c r="H75" i="4"/>
  <c r="F75" i="4"/>
  <c r="H76" i="4"/>
  <c r="F76" i="4"/>
  <c r="H77" i="4"/>
  <c r="H78" i="4"/>
  <c r="J79" i="4"/>
  <c r="H79" i="4"/>
  <c r="F79" i="4"/>
  <c r="H81" i="4"/>
  <c r="F81" i="4"/>
  <c r="J83" i="4"/>
  <c r="H83" i="4"/>
  <c r="F83" i="4"/>
  <c r="H84" i="4"/>
  <c r="F84" i="4"/>
  <c r="J86" i="4"/>
  <c r="H86" i="4"/>
  <c r="F86" i="4"/>
  <c r="L87" i="4"/>
  <c r="H87" i="4"/>
  <c r="F87" i="4"/>
  <c r="N88" i="4"/>
  <c r="J88" i="4"/>
  <c r="H88" i="4"/>
  <c r="F88" i="4"/>
  <c r="H90" i="4"/>
  <c r="N91" i="4"/>
  <c r="H91" i="4"/>
  <c r="N92" i="4"/>
  <c r="H92" i="4"/>
  <c r="N93" i="4"/>
  <c r="H93" i="4"/>
  <c r="I103" i="2"/>
  <c r="I98" i="2"/>
  <c r="I108" i="2" s="1"/>
  <c r="I107" i="2"/>
  <c r="I105" i="2"/>
  <c r="C103" i="2"/>
  <c r="C98" i="2"/>
  <c r="C107" i="2"/>
  <c r="C105" i="2"/>
  <c r="L43" i="2"/>
  <c r="D43" i="2"/>
  <c r="L22" i="2"/>
  <c r="J22" i="2"/>
  <c r="H22" i="2"/>
  <c r="F22" i="2"/>
  <c r="D22" i="2"/>
  <c r="E12" i="2"/>
  <c r="L12" i="2"/>
  <c r="J12" i="2"/>
  <c r="N64" i="2"/>
  <c r="L64" i="2"/>
  <c r="L84" i="2" s="1"/>
  <c r="J64" i="2"/>
  <c r="H85" i="2"/>
  <c r="F64" i="2"/>
  <c r="F84" i="2" s="1"/>
  <c r="H84" i="2"/>
  <c r="L83" i="2"/>
  <c r="H83" i="2"/>
  <c r="M82" i="2"/>
  <c r="N82" i="2"/>
  <c r="J82" i="2"/>
  <c r="H82" i="2"/>
  <c r="M80" i="2"/>
  <c r="J80" i="2"/>
  <c r="H80" i="2"/>
  <c r="N79" i="2"/>
  <c r="L79" i="2"/>
  <c r="J79" i="2"/>
  <c r="H79" i="2"/>
  <c r="F79" i="2"/>
  <c r="M78" i="2"/>
  <c r="M86" i="6"/>
  <c r="N78" i="2"/>
  <c r="L78" i="2"/>
  <c r="J78" i="2"/>
  <c r="H78" i="2"/>
  <c r="N76" i="2"/>
  <c r="L76" i="2"/>
  <c r="J76" i="2"/>
  <c r="H76" i="2"/>
  <c r="M75" i="2"/>
  <c r="L75" i="2"/>
  <c r="J75" i="2"/>
  <c r="H75" i="2"/>
  <c r="N73" i="2"/>
  <c r="L73" i="2"/>
  <c r="J73" i="2"/>
  <c r="H73" i="2"/>
  <c r="N71" i="2"/>
  <c r="L71" i="2"/>
  <c r="J71" i="2"/>
  <c r="H71" i="2"/>
  <c r="F71" i="2"/>
  <c r="N70" i="2"/>
  <c r="L70" i="2"/>
  <c r="J70" i="2"/>
  <c r="H70" i="2"/>
  <c r="N69" i="2"/>
  <c r="L69" i="2"/>
  <c r="J69" i="2"/>
  <c r="H69" i="2"/>
  <c r="N68" i="2"/>
  <c r="L68" i="2"/>
  <c r="J68" i="2"/>
  <c r="H68" i="2"/>
  <c r="N67" i="2"/>
  <c r="L67" i="2"/>
  <c r="J67" i="2"/>
  <c r="H67" i="2"/>
  <c r="F67" i="2"/>
  <c r="M66" i="2"/>
  <c r="L66" i="2"/>
  <c r="J66" i="2"/>
  <c r="H66" i="2"/>
  <c r="F35" i="2"/>
  <c r="F40" i="2"/>
  <c r="F41" i="2" s="1"/>
  <c r="N66" i="1"/>
  <c r="N69" i="1" s="1"/>
  <c r="L66" i="1"/>
  <c r="L69" i="1" s="1"/>
  <c r="J66" i="1"/>
  <c r="J69" i="1" s="1"/>
  <c r="H69" i="1"/>
  <c r="F66" i="1"/>
  <c r="H70" i="1"/>
  <c r="H71" i="1"/>
  <c r="F71" i="1"/>
  <c r="H72" i="1"/>
  <c r="N73" i="1"/>
  <c r="H73" i="1"/>
  <c r="H75" i="1"/>
  <c r="F75" i="1"/>
  <c r="N77" i="1"/>
  <c r="H77" i="1"/>
  <c r="M78" i="1"/>
  <c r="H78" i="1"/>
  <c r="H80" i="1"/>
  <c r="N81" i="1"/>
  <c r="H81" i="1"/>
  <c r="F81" i="1"/>
  <c r="M82" i="1"/>
  <c r="N82" i="1" s="1"/>
  <c r="H82" i="1"/>
  <c r="M84" i="1"/>
  <c r="H84" i="1"/>
  <c r="F84" i="1"/>
  <c r="N85" i="1"/>
  <c r="J85" i="1"/>
  <c r="H85" i="1"/>
  <c r="N86" i="1"/>
  <c r="L86" i="1"/>
  <c r="J86" i="1"/>
  <c r="H86" i="1"/>
  <c r="F86" i="1"/>
  <c r="N87" i="1"/>
  <c r="L87" i="1"/>
  <c r="J87" i="1"/>
  <c r="H87" i="1"/>
  <c r="N68" i="1"/>
  <c r="L68" i="1"/>
  <c r="J68" i="1"/>
  <c r="H68" i="1"/>
  <c r="L43" i="1"/>
  <c r="D43" i="1"/>
  <c r="F35" i="1"/>
  <c r="F40" i="1"/>
  <c r="F41" i="1"/>
  <c r="L22" i="1"/>
  <c r="J22" i="1"/>
  <c r="H22" i="1"/>
  <c r="F22" i="1"/>
  <c r="D22" i="1"/>
  <c r="J12" i="1"/>
  <c r="J14" i="6" s="1"/>
  <c r="L11" i="1"/>
  <c r="J11" i="1"/>
  <c r="J10" i="6" s="1"/>
  <c r="M11" i="1"/>
  <c r="E11" i="1"/>
  <c r="L42" i="3"/>
  <c r="J42" i="3"/>
  <c r="H42" i="3"/>
  <c r="F42" i="3"/>
  <c r="D42" i="3"/>
  <c r="M83" i="5"/>
  <c r="M82" i="5"/>
  <c r="M80" i="5"/>
  <c r="M76" i="5"/>
  <c r="M75" i="5"/>
  <c r="M66" i="5"/>
  <c r="L43" i="5"/>
  <c r="M12" i="5"/>
  <c r="N64" i="5"/>
  <c r="N82" i="5" s="1"/>
  <c r="N70" i="5"/>
  <c r="N36" i="5"/>
  <c r="N40" i="5"/>
  <c r="L12" i="5"/>
  <c r="D37" i="6"/>
  <c r="C12" i="6"/>
  <c r="J12" i="5"/>
  <c r="D43" i="5"/>
  <c r="D45" i="6" s="1"/>
  <c r="L64" i="5"/>
  <c r="L85" i="5" s="1"/>
  <c r="L79" i="5"/>
  <c r="L36" i="5"/>
  <c r="L40" i="5"/>
  <c r="L41" i="5" s="1"/>
  <c r="L24" i="5"/>
  <c r="J64" i="5"/>
  <c r="J85" i="5" s="1"/>
  <c r="J84" i="5"/>
  <c r="J36" i="5"/>
  <c r="J40" i="5"/>
  <c r="J24" i="5"/>
  <c r="H24" i="5"/>
  <c r="H85" i="5"/>
  <c r="H84" i="5"/>
  <c r="H83" i="5"/>
  <c r="H82" i="5"/>
  <c r="H80" i="5"/>
  <c r="H79" i="5"/>
  <c r="H78" i="5"/>
  <c r="H76" i="5"/>
  <c r="H75" i="5"/>
  <c r="H73" i="5"/>
  <c r="H71" i="5"/>
  <c r="H70" i="5"/>
  <c r="H69" i="5"/>
  <c r="H68" i="5"/>
  <c r="H67" i="5"/>
  <c r="H66" i="5"/>
  <c r="D52" i="3"/>
  <c r="D36" i="6" s="1"/>
  <c r="C15" i="6"/>
  <c r="C13" i="6"/>
  <c r="H40" i="5"/>
  <c r="H36" i="5"/>
  <c r="H41" i="5"/>
  <c r="D66" i="1"/>
  <c r="D68" i="1"/>
  <c r="D69" i="1"/>
  <c r="D71" i="1"/>
  <c r="D73" i="1"/>
  <c r="D77" i="1"/>
  <c r="D80" i="1"/>
  <c r="D82" i="1"/>
  <c r="D85" i="1"/>
  <c r="D87" i="1"/>
  <c r="D35" i="1"/>
  <c r="D40" i="1"/>
  <c r="D41" i="1" s="1"/>
  <c r="C10" i="6"/>
  <c r="E12" i="5"/>
  <c r="C11" i="6"/>
  <c r="E11" i="6"/>
  <c r="C74" i="6"/>
  <c r="D67" i="6"/>
  <c r="D68" i="6"/>
  <c r="D70" i="6"/>
  <c r="D71" i="6"/>
  <c r="C75" i="6"/>
  <c r="C76" i="6"/>
  <c r="C77" i="6"/>
  <c r="C78" i="6"/>
  <c r="C79" i="6"/>
  <c r="C81" i="6"/>
  <c r="C83" i="6"/>
  <c r="C84" i="6"/>
  <c r="C86" i="6"/>
  <c r="C87" i="6"/>
  <c r="C88" i="6"/>
  <c r="C90" i="6"/>
  <c r="C91" i="6"/>
  <c r="C92" i="6"/>
  <c r="C93" i="6"/>
  <c r="C14" i="6"/>
  <c r="D42" i="6"/>
  <c r="D83" i="3"/>
  <c r="D85" i="3" s="1"/>
  <c r="D88" i="3"/>
  <c r="D59" i="3"/>
  <c r="D64" i="2"/>
  <c r="D78" i="2" s="1"/>
  <c r="D35" i="2"/>
  <c r="D40" i="2"/>
  <c r="D41" i="2" s="1"/>
  <c r="D72" i="4"/>
  <c r="D74" i="4" s="1"/>
  <c r="D75" i="4"/>
  <c r="D86" i="4"/>
  <c r="D43" i="4"/>
  <c r="D48" i="4"/>
  <c r="F64" i="5"/>
  <c r="F75" i="5" s="1"/>
  <c r="D64" i="5"/>
  <c r="F24" i="5"/>
  <c r="F36" i="5"/>
  <c r="F40" i="5"/>
  <c r="F41" i="5" s="1"/>
  <c r="D36" i="5"/>
  <c r="D40" i="5"/>
  <c r="D41" i="5" s="1"/>
  <c r="D24" i="5"/>
  <c r="R49" i="4"/>
  <c r="D78" i="5"/>
  <c r="N68" i="5"/>
  <c r="N69" i="5"/>
  <c r="N84" i="5"/>
  <c r="N85" i="5"/>
  <c r="N71" i="5"/>
  <c r="N73" i="5"/>
  <c r="M83" i="6"/>
  <c r="M91" i="6"/>
  <c r="L67" i="5"/>
  <c r="L69" i="5"/>
  <c r="L71" i="5"/>
  <c r="L75" i="5"/>
  <c r="L78" i="5"/>
  <c r="L80" i="5"/>
  <c r="L83" i="5"/>
  <c r="N41" i="5"/>
  <c r="N67" i="5"/>
  <c r="N75" i="5"/>
  <c r="N78" i="5"/>
  <c r="N80" i="5"/>
  <c r="N83" i="5"/>
  <c r="L84" i="1"/>
  <c r="L82" i="1"/>
  <c r="M88" i="6"/>
  <c r="L81" i="1"/>
  <c r="J80" i="1"/>
  <c r="N80" i="1"/>
  <c r="L78" i="1"/>
  <c r="L77" i="1"/>
  <c r="J75" i="1"/>
  <c r="N75" i="1"/>
  <c r="L73" i="1"/>
  <c r="J72" i="1"/>
  <c r="N72" i="1"/>
  <c r="L71" i="1"/>
  <c r="J70" i="1"/>
  <c r="N70" i="1"/>
  <c r="N66" i="2"/>
  <c r="F75" i="2"/>
  <c r="N75" i="2"/>
  <c r="F76" i="2"/>
  <c r="N80" i="2"/>
  <c r="F83" i="2"/>
  <c r="F78" i="4"/>
  <c r="N76" i="4"/>
  <c r="N77" i="4"/>
  <c r="N81" i="4"/>
  <c r="I108" i="5"/>
  <c r="P92" i="3"/>
  <c r="P89" i="3"/>
  <c r="P77" i="4"/>
  <c r="N55" i="3"/>
  <c r="N60" i="3" s="1"/>
  <c r="J55" i="3"/>
  <c r="J60" i="3" s="1"/>
  <c r="D97" i="3"/>
  <c r="D86" i="3"/>
  <c r="F55" i="3"/>
  <c r="L85" i="3"/>
  <c r="L87" i="3"/>
  <c r="L94" i="3"/>
  <c r="L99" i="3"/>
  <c r="H88" i="3"/>
  <c r="L89" i="3"/>
  <c r="N94" i="3"/>
  <c r="H97" i="3"/>
  <c r="L98" i="3"/>
  <c r="N99" i="3"/>
  <c r="H102" i="3"/>
  <c r="L103" i="3"/>
  <c r="D101" i="3"/>
  <c r="D95" i="3"/>
  <c r="D89" i="3"/>
  <c r="F60" i="3"/>
  <c r="F92" i="3"/>
  <c r="H90" i="3"/>
  <c r="H92" i="3"/>
  <c r="F94" i="3"/>
  <c r="F95" i="3"/>
  <c r="F97" i="3"/>
  <c r="F98" i="3"/>
  <c r="F99" i="3"/>
  <c r="F101" i="3"/>
  <c r="F102" i="3"/>
  <c r="F103" i="3"/>
  <c r="P88" i="3"/>
  <c r="D94" i="3"/>
  <c r="F69" i="5"/>
  <c r="F80" i="5"/>
  <c r="J41" i="5"/>
  <c r="L73" i="5"/>
  <c r="L84" i="5"/>
  <c r="N79" i="5"/>
  <c r="D84" i="5"/>
  <c r="D73" i="5"/>
  <c r="J67" i="5"/>
  <c r="J69" i="5"/>
  <c r="J71" i="5"/>
  <c r="J75" i="5"/>
  <c r="J78" i="5"/>
  <c r="J80" i="5"/>
  <c r="J83" i="5"/>
  <c r="L66" i="5"/>
  <c r="L70" i="5"/>
  <c r="L76" i="5"/>
  <c r="L82" i="5"/>
  <c r="N66" i="5"/>
  <c r="N76" i="5"/>
  <c r="P76" i="5"/>
  <c r="P73" i="5"/>
  <c r="P71" i="5"/>
  <c r="P70" i="5"/>
  <c r="P69" i="5"/>
  <c r="P108" i="5"/>
  <c r="P108" i="2"/>
  <c r="P110" i="1"/>
  <c r="P127" i="3"/>
  <c r="R67" i="5"/>
  <c r="R69" i="5"/>
  <c r="R71" i="5"/>
  <c r="R75" i="5"/>
  <c r="R78" i="5"/>
  <c r="R80" i="5"/>
  <c r="R83" i="5"/>
  <c r="R85" i="5"/>
  <c r="R66" i="5"/>
  <c r="R68" i="5"/>
  <c r="R70" i="5"/>
  <c r="R73" i="5"/>
  <c r="R76" i="5"/>
  <c r="R79" i="5"/>
  <c r="R82" i="5"/>
  <c r="R84" i="5"/>
  <c r="R74" i="4"/>
  <c r="R76" i="4"/>
  <c r="R78" i="4"/>
  <c r="R81" i="4"/>
  <c r="R84" i="4"/>
  <c r="R87" i="4"/>
  <c r="R90" i="4"/>
  <c r="R92" i="4"/>
  <c r="R75" i="4"/>
  <c r="R77" i="4"/>
  <c r="R79" i="4"/>
  <c r="R83" i="4"/>
  <c r="R86" i="4"/>
  <c r="R88" i="4"/>
  <c r="R91" i="4"/>
  <c r="R67" i="2"/>
  <c r="R69" i="2"/>
  <c r="R71" i="2"/>
  <c r="R75" i="2"/>
  <c r="R78" i="2"/>
  <c r="R80" i="2"/>
  <c r="R83" i="2"/>
  <c r="R85" i="2"/>
  <c r="R66" i="2"/>
  <c r="R68" i="2"/>
  <c r="R70" i="2"/>
  <c r="R73" i="2"/>
  <c r="R76" i="2"/>
  <c r="R79" i="2"/>
  <c r="R82" i="2"/>
  <c r="R84" i="2"/>
  <c r="R69" i="1"/>
  <c r="R71" i="1"/>
  <c r="R73" i="1"/>
  <c r="R77" i="1"/>
  <c r="R80" i="1"/>
  <c r="R82" i="1"/>
  <c r="R85" i="1"/>
  <c r="R87" i="1"/>
  <c r="R68" i="1"/>
  <c r="R70" i="1"/>
  <c r="R72" i="1"/>
  <c r="R75" i="1"/>
  <c r="R78" i="1"/>
  <c r="R81" i="1"/>
  <c r="R84" i="1"/>
  <c r="R86" i="1"/>
  <c r="D75" i="5"/>
  <c r="D85" i="5"/>
  <c r="D70" i="5"/>
  <c r="F70" i="5"/>
  <c r="F82" i="5"/>
  <c r="D92" i="4"/>
  <c r="D87" i="4"/>
  <c r="D81" i="4"/>
  <c r="D76" i="4"/>
  <c r="D84" i="2"/>
  <c r="D79" i="2"/>
  <c r="D73" i="2"/>
  <c r="D68" i="2"/>
  <c r="F85" i="1"/>
  <c r="N84" i="1"/>
  <c r="F82" i="1"/>
  <c r="F73" i="1"/>
  <c r="F66" i="2"/>
  <c r="F70" i="2"/>
  <c r="J92" i="4"/>
  <c r="J90" i="4"/>
  <c r="J87" i="4"/>
  <c r="J84" i="4"/>
  <c r="J81" i="4"/>
  <c r="J78" i="4"/>
  <c r="J76" i="4"/>
  <c r="P69" i="1"/>
  <c r="P86" i="1"/>
  <c r="P84" i="1"/>
  <c r="P81" i="1"/>
  <c r="P78" i="1"/>
  <c r="P75" i="1"/>
  <c r="P72" i="1"/>
  <c r="P66" i="5"/>
  <c r="P85" i="5"/>
  <c r="P83" i="5"/>
  <c r="P80" i="5"/>
  <c r="P78" i="5"/>
  <c r="D71" i="5"/>
  <c r="D83" i="5"/>
  <c r="D76" i="5"/>
  <c r="F68" i="5"/>
  <c r="F79" i="5"/>
  <c r="D85" i="2"/>
  <c r="D80" i="2"/>
  <c r="D75" i="2"/>
  <c r="D69" i="2"/>
  <c r="D86" i="1"/>
  <c r="D84" i="1"/>
  <c r="D81" i="1"/>
  <c r="D78" i="1"/>
  <c r="D75" i="1"/>
  <c r="D72" i="1"/>
  <c r="D70" i="1"/>
  <c r="J66" i="5"/>
  <c r="J70" i="5"/>
  <c r="J76" i="5"/>
  <c r="J82" i="5"/>
  <c r="L68" i="5"/>
  <c r="L85" i="1"/>
  <c r="J84" i="1"/>
  <c r="J82" i="1"/>
  <c r="J81" i="1"/>
  <c r="L80" i="1"/>
  <c r="J78" i="1"/>
  <c r="J77" i="1"/>
  <c r="L75" i="1"/>
  <c r="J73" i="1"/>
  <c r="J71" i="1"/>
  <c r="L70" i="1"/>
  <c r="F78" i="2"/>
  <c r="L78" i="4"/>
  <c r="F77" i="4"/>
  <c r="L74" i="4"/>
  <c r="F85" i="3"/>
  <c r="N85" i="3"/>
  <c r="H86" i="3"/>
  <c r="L86" i="3"/>
  <c r="F87" i="3"/>
  <c r="N87" i="3"/>
  <c r="J88" i="3"/>
  <c r="J89" i="3"/>
  <c r="F90" i="3"/>
  <c r="J92" i="3"/>
  <c r="H95" i="3"/>
  <c r="L97" i="3"/>
  <c r="H101" i="3"/>
  <c r="L102" i="3"/>
  <c r="P85" i="3"/>
  <c r="P104" i="3"/>
  <c r="P102" i="3"/>
  <c r="P99" i="3"/>
  <c r="P97" i="3"/>
  <c r="P94" i="3"/>
  <c r="P67" i="2"/>
  <c r="P84" i="2"/>
  <c r="P82" i="2"/>
  <c r="P79" i="2"/>
  <c r="P76" i="2"/>
  <c r="P73" i="2"/>
  <c r="P70" i="2"/>
  <c r="N49" i="4"/>
  <c r="M10" i="6"/>
  <c r="L14" i="6"/>
  <c r="T83" i="5"/>
  <c r="T86" i="3"/>
  <c r="T88" i="3"/>
  <c r="T90" i="3"/>
  <c r="T97" i="3"/>
  <c r="T104" i="3"/>
  <c r="T87" i="3"/>
  <c r="T89" i="3"/>
  <c r="T92" i="3"/>
  <c r="T98" i="3"/>
  <c r="T101" i="3"/>
  <c r="D66" i="5"/>
  <c r="D67" i="5"/>
  <c r="D79" i="5"/>
  <c r="D68" i="5"/>
  <c r="D69" i="5"/>
  <c r="D80" i="5"/>
  <c r="D82" i="5"/>
  <c r="F85" i="5"/>
  <c r="F73" i="5"/>
  <c r="F67" i="5"/>
  <c r="F71" i="5"/>
  <c r="F78" i="5"/>
  <c r="F83" i="5"/>
  <c r="F66" i="5"/>
  <c r="F76" i="5"/>
  <c r="D66" i="2"/>
  <c r="D71" i="2"/>
  <c r="D83" i="2"/>
  <c r="D82" i="2"/>
  <c r="D76" i="2"/>
  <c r="D70" i="2"/>
  <c r="M84" i="6"/>
  <c r="E10" i="6"/>
  <c r="N74" i="4"/>
  <c r="M74" i="6"/>
  <c r="N90" i="4"/>
  <c r="M90" i="6"/>
  <c r="F104" i="3"/>
  <c r="F89" i="3"/>
  <c r="J104" i="3"/>
  <c r="J87" i="3"/>
  <c r="J86" i="3"/>
  <c r="J85" i="3"/>
  <c r="J90" i="3"/>
  <c r="J94" i="3"/>
  <c r="J95" i="3"/>
  <c r="J97" i="3"/>
  <c r="J98" i="3"/>
  <c r="J99" i="3"/>
  <c r="J101" i="3"/>
  <c r="J102" i="3"/>
  <c r="J103" i="3"/>
  <c r="N104" i="3"/>
  <c r="N101" i="3"/>
  <c r="N95" i="3"/>
  <c r="N90" i="3"/>
  <c r="N88" i="3"/>
  <c r="N97" i="3"/>
  <c r="N102" i="3"/>
  <c r="F84" i="5"/>
  <c r="D67" i="2"/>
  <c r="L10" i="6"/>
  <c r="N78" i="1"/>
  <c r="F69" i="1"/>
  <c r="F70" i="1"/>
  <c r="F77" i="1"/>
  <c r="F80" i="1"/>
  <c r="F68" i="1"/>
  <c r="F87" i="1"/>
  <c r="F78" i="1"/>
  <c r="F72" i="1"/>
  <c r="F85" i="2"/>
  <c r="F69" i="2"/>
  <c r="F80" i="2"/>
  <c r="F82" i="2"/>
  <c r="F68" i="2"/>
  <c r="F73" i="2"/>
  <c r="L75" i="4"/>
  <c r="L81" i="4"/>
  <c r="L76" i="4"/>
  <c r="L93" i="4"/>
  <c r="L91" i="4"/>
  <c r="L88" i="4"/>
  <c r="L86" i="4"/>
  <c r="L83" i="4"/>
  <c r="N84" i="4"/>
  <c r="H104" i="3"/>
  <c r="H85" i="3"/>
  <c r="H87" i="3"/>
  <c r="H98" i="3"/>
  <c r="H103" i="3"/>
  <c r="H89" i="3"/>
  <c r="H94" i="3"/>
  <c r="H99" i="3"/>
  <c r="L104" i="3"/>
  <c r="L88" i="3"/>
  <c r="L95" i="3"/>
  <c r="L101" i="3"/>
  <c r="L90" i="3"/>
  <c r="L92" i="3"/>
  <c r="H36" i="6"/>
  <c r="H55" i="3"/>
  <c r="H60" i="3" s="1"/>
  <c r="L36" i="6"/>
  <c r="L38" i="6" s="1"/>
  <c r="L43" i="6" s="1"/>
  <c r="L55" i="3"/>
  <c r="L60" i="3" s="1"/>
  <c r="L45" i="6"/>
  <c r="P68" i="1"/>
  <c r="P85" i="1"/>
  <c r="P80" i="1"/>
  <c r="P73" i="1"/>
  <c r="T76" i="5"/>
  <c r="T79" i="5"/>
  <c r="T82" i="5"/>
  <c r="V87" i="1"/>
  <c r="V85" i="1"/>
  <c r="V82" i="1"/>
  <c r="V80" i="1"/>
  <c r="V77" i="1"/>
  <c r="V74" i="1"/>
  <c r="V72" i="1"/>
  <c r="V70" i="1"/>
  <c r="V102" i="3"/>
  <c r="V98" i="3"/>
  <c r="V94" i="3"/>
  <c r="V89" i="3"/>
  <c r="V85" i="3"/>
  <c r="V104" i="3"/>
  <c r="V101" i="3"/>
  <c r="V97" i="3"/>
  <c r="V90" i="3"/>
  <c r="V88" i="3"/>
  <c r="N55" i="6"/>
  <c r="V75" i="5"/>
  <c r="V71" i="5"/>
  <c r="V72" i="5"/>
  <c r="V69" i="5"/>
  <c r="V67" i="5"/>
  <c r="V70" i="5"/>
  <c r="V68" i="5"/>
  <c r="V79" i="4"/>
  <c r="V81" i="4"/>
  <c r="V77" i="4"/>
  <c r="V75" i="4"/>
  <c r="V80" i="4"/>
  <c r="V78" i="4"/>
  <c r="V76" i="4"/>
  <c r="V79" i="2"/>
  <c r="V73" i="2"/>
  <c r="V69" i="2"/>
  <c r="V71" i="2"/>
  <c r="V67" i="2"/>
  <c r="V78" i="2"/>
  <c r="V75" i="2"/>
  <c r="V72" i="2"/>
  <c r="V70" i="2"/>
  <c r="V68" i="2"/>
  <c r="V103" i="3"/>
  <c r="V95" i="3"/>
  <c r="V87" i="3"/>
  <c r="V99" i="3"/>
  <c r="V92" i="3"/>
  <c r="V78" i="1"/>
  <c r="V84" i="1"/>
  <c r="V73" i="1"/>
  <c r="V69" i="1"/>
  <c r="V86" i="1"/>
  <c r="V81" i="1"/>
  <c r="V75" i="1"/>
  <c r="V71" i="1"/>
  <c r="D99" i="3"/>
  <c r="D78" i="4"/>
  <c r="D84" i="4"/>
  <c r="D90" i="4"/>
  <c r="D104" i="3"/>
  <c r="D87" i="3"/>
  <c r="D92" i="3"/>
  <c r="D98" i="3"/>
  <c r="D103" i="3"/>
  <c r="D90" i="3"/>
  <c r="D102" i="3"/>
  <c r="L77" i="4"/>
  <c r="L79" i="4"/>
  <c r="D93" i="4"/>
  <c r="D88" i="4"/>
  <c r="D83" i="4"/>
  <c r="D77" i="4"/>
  <c r="D55" i="3"/>
  <c r="D60" i="3"/>
  <c r="F93" i="4"/>
  <c r="J93" i="4"/>
  <c r="F92" i="4"/>
  <c r="L92" i="4"/>
  <c r="F91" i="4"/>
  <c r="J91" i="4"/>
  <c r="F90" i="4"/>
  <c r="L90" i="4"/>
  <c r="J77" i="4"/>
  <c r="N37" i="6"/>
  <c r="N36" i="6"/>
  <c r="P116" i="4"/>
  <c r="P111" i="6"/>
  <c r="P110" i="6"/>
  <c r="P115" i="6" s="1"/>
  <c r="S93" i="6"/>
  <c r="S91" i="6"/>
  <c r="S88" i="6"/>
  <c r="S86" i="6"/>
  <c r="S83" i="6"/>
  <c r="S80" i="6"/>
  <c r="S78" i="6"/>
  <c r="S76" i="6"/>
  <c r="S74" i="6"/>
  <c r="T76" i="4"/>
  <c r="T78" i="4"/>
  <c r="T80" i="4"/>
  <c r="T83" i="4"/>
  <c r="T86" i="4"/>
  <c r="T88" i="4"/>
  <c r="T91" i="4"/>
  <c r="T93" i="4"/>
  <c r="T85" i="3"/>
  <c r="T94" i="3"/>
  <c r="T95" i="3"/>
  <c r="T99" i="3"/>
  <c r="T102" i="3"/>
  <c r="V91" i="3"/>
  <c r="P84" i="5"/>
  <c r="P79" i="5"/>
  <c r="J68" i="5"/>
  <c r="J79" i="5"/>
  <c r="O10" i="6" l="1"/>
  <c r="D49" i="4"/>
  <c r="D91" i="4"/>
  <c r="D79" i="4"/>
  <c r="L72" i="1"/>
  <c r="C108" i="2"/>
  <c r="C116" i="4"/>
  <c r="J41" i="1"/>
  <c r="P75" i="5"/>
  <c r="U12" i="6"/>
  <c r="X75" i="6"/>
  <c r="X86" i="6"/>
  <c r="X93" i="6"/>
  <c r="X74" i="6"/>
  <c r="X84" i="6"/>
  <c r="X83" i="6"/>
  <c r="X78" i="6"/>
  <c r="X81" i="6"/>
  <c r="X79" i="6"/>
  <c r="X90" i="6"/>
  <c r="X88" i="6"/>
  <c r="X91" i="6"/>
  <c r="X80" i="6"/>
  <c r="X76" i="6"/>
  <c r="X77" i="6"/>
  <c r="X87" i="6"/>
  <c r="T55" i="6"/>
  <c r="S55" i="6"/>
  <c r="J73" i="5"/>
  <c r="N71" i="1"/>
  <c r="J85" i="2"/>
  <c r="J84" i="2"/>
  <c r="J83" i="2"/>
  <c r="N85" i="2"/>
  <c r="N84" i="2"/>
  <c r="N83" i="2"/>
  <c r="L85" i="2"/>
  <c r="L82" i="2"/>
  <c r="L80" i="2"/>
  <c r="AC42" i="6"/>
  <c r="T92" i="4"/>
  <c r="T87" i="4"/>
  <c r="T68" i="5"/>
  <c r="T70" i="5"/>
  <c r="T72" i="5"/>
  <c r="N87" i="4"/>
  <c r="N86" i="4"/>
  <c r="N83" i="4"/>
  <c r="N79" i="4"/>
  <c r="P87" i="1"/>
  <c r="P77" i="1"/>
  <c r="AC40" i="1"/>
  <c r="P93" i="4"/>
  <c r="P91" i="4"/>
  <c r="P88" i="4"/>
  <c r="P86" i="4"/>
  <c r="P83" i="4"/>
  <c r="P79" i="4"/>
  <c r="P82" i="5"/>
  <c r="P113" i="6"/>
  <c r="P10" i="6"/>
  <c r="T77" i="4"/>
  <c r="T81" i="4"/>
  <c r="T90" i="4"/>
  <c r="T66" i="5"/>
  <c r="T74" i="4"/>
  <c r="T75" i="5"/>
  <c r="T80" i="5"/>
  <c r="T85" i="5"/>
  <c r="P38" i="6"/>
  <c r="P43" i="6" s="1"/>
  <c r="P116" i="6"/>
  <c r="I111" i="6"/>
  <c r="C115" i="6"/>
  <c r="N38" i="6"/>
  <c r="N43" i="6" s="1"/>
  <c r="I114" i="6"/>
  <c r="F38" i="6"/>
  <c r="F43" i="6" s="1"/>
  <c r="AB11" i="6"/>
  <c r="N26" i="6"/>
  <c r="P26" i="6"/>
  <c r="P72" i="6"/>
  <c r="P78" i="6" s="1"/>
  <c r="J72" i="6"/>
  <c r="J81" i="6" s="1"/>
  <c r="I115" i="6"/>
  <c r="R26" i="6"/>
  <c r="I106" i="6"/>
  <c r="I116" i="6" s="1"/>
  <c r="T38" i="6"/>
  <c r="T43" i="6" s="1"/>
  <c r="T26" i="6"/>
  <c r="H26" i="6"/>
  <c r="D38" i="6"/>
  <c r="D43" i="6" s="1"/>
  <c r="F72" i="6"/>
  <c r="F83" i="6" s="1"/>
  <c r="R38" i="6"/>
  <c r="R43" i="6" s="1"/>
  <c r="P114" i="6"/>
  <c r="V72" i="6"/>
  <c r="D72" i="6"/>
  <c r="D74" i="6" s="1"/>
  <c r="F26" i="6"/>
  <c r="C106" i="6"/>
  <c r="C114" i="6"/>
  <c r="P84" i="6"/>
  <c r="P83" i="6"/>
  <c r="L72" i="6"/>
  <c r="L79" i="6" s="1"/>
  <c r="V38" i="6"/>
  <c r="V43" i="6" s="1"/>
  <c r="V26" i="6"/>
  <c r="L78" i="6"/>
  <c r="P88" i="6"/>
  <c r="P87" i="6"/>
  <c r="P90" i="6"/>
  <c r="C111" i="6"/>
  <c r="C113" i="6"/>
  <c r="P93" i="6"/>
  <c r="P76" i="6"/>
  <c r="J38" i="6"/>
  <c r="J43" i="6" s="1"/>
  <c r="I113" i="6"/>
  <c r="J26" i="6"/>
  <c r="T72" i="6"/>
  <c r="T86" i="6" s="1"/>
  <c r="L51" i="6"/>
  <c r="L26" i="6"/>
  <c r="H38" i="6"/>
  <c r="H43" i="6" s="1"/>
  <c r="D26" i="6"/>
  <c r="J75" i="6"/>
  <c r="H72" i="6"/>
  <c r="N72" i="6"/>
  <c r="N78" i="6" s="1"/>
  <c r="R72" i="6"/>
  <c r="R86" i="6" s="1"/>
  <c r="L76" i="6" l="1"/>
  <c r="V76" i="6"/>
  <c r="L90" i="6"/>
  <c r="D92" i="6"/>
  <c r="L81" i="6"/>
  <c r="L91" i="6"/>
  <c r="L77" i="6"/>
  <c r="L88" i="6"/>
  <c r="V83" i="6"/>
  <c r="J86" i="6"/>
  <c r="F76" i="6"/>
  <c r="F78" i="6"/>
  <c r="L93" i="6"/>
  <c r="L75" i="6"/>
  <c r="L87" i="6"/>
  <c r="T78" i="6"/>
  <c r="F92" i="6"/>
  <c r="L74" i="6"/>
  <c r="L92" i="6"/>
  <c r="F90" i="6"/>
  <c r="J92" i="6"/>
  <c r="T80" i="6"/>
  <c r="F77" i="6"/>
  <c r="D90" i="6"/>
  <c r="T88" i="6"/>
  <c r="J78" i="6"/>
  <c r="J90" i="6"/>
  <c r="J74" i="6"/>
  <c r="F74" i="6"/>
  <c r="F84" i="6"/>
  <c r="F86" i="6"/>
  <c r="J93" i="6"/>
  <c r="D87" i="6"/>
  <c r="D86" i="6"/>
  <c r="F88" i="6"/>
  <c r="F79" i="6"/>
  <c r="V79" i="6"/>
  <c r="J88" i="6"/>
  <c r="P75" i="6"/>
  <c r="F91" i="6"/>
  <c r="F75" i="6"/>
  <c r="J79" i="6"/>
  <c r="P81" i="6"/>
  <c r="T90" i="6"/>
  <c r="P77" i="6"/>
  <c r="J91" i="6"/>
  <c r="D81" i="6"/>
  <c r="P74" i="6"/>
  <c r="F81" i="6"/>
  <c r="V77" i="6"/>
  <c r="J76" i="6"/>
  <c r="J84" i="6"/>
  <c r="P92" i="6"/>
  <c r="D79" i="6"/>
  <c r="J87" i="6"/>
  <c r="P86" i="6"/>
  <c r="T93" i="6"/>
  <c r="F87" i="6"/>
  <c r="F93" i="6"/>
  <c r="T84" i="6"/>
  <c r="J83" i="6"/>
  <c r="D77" i="6"/>
  <c r="J77" i="6"/>
  <c r="P91" i="6"/>
  <c r="P79" i="6"/>
  <c r="T91" i="6"/>
  <c r="D84" i="6"/>
  <c r="V75" i="6"/>
  <c r="V86" i="6"/>
  <c r="V91" i="6"/>
  <c r="V84" i="6"/>
  <c r="V93" i="6"/>
  <c r="V74" i="6"/>
  <c r="V88" i="6"/>
  <c r="V78" i="6"/>
  <c r="V81" i="6"/>
  <c r="N75" i="6"/>
  <c r="D93" i="6"/>
  <c r="T83" i="6"/>
  <c r="D91" i="6"/>
  <c r="D76" i="6"/>
  <c r="D78" i="6"/>
  <c r="V92" i="6"/>
  <c r="V90" i="6"/>
  <c r="D75" i="6"/>
  <c r="D88" i="6"/>
  <c r="T74" i="6"/>
  <c r="T75" i="6"/>
  <c r="T79" i="6"/>
  <c r="C116" i="6"/>
  <c r="D83" i="6"/>
  <c r="L84" i="6"/>
  <c r="L86" i="6"/>
  <c r="L83" i="6"/>
  <c r="V87" i="6"/>
  <c r="V80" i="6"/>
  <c r="H74" i="6"/>
  <c r="H84" i="6"/>
  <c r="H83" i="6"/>
  <c r="H86" i="6"/>
  <c r="H92" i="6"/>
  <c r="H81" i="6"/>
  <c r="H93" i="6"/>
  <c r="H79" i="6"/>
  <c r="H76" i="6"/>
  <c r="H75" i="6"/>
  <c r="H90" i="6"/>
  <c r="H78" i="6"/>
  <c r="H87" i="6"/>
  <c r="R80" i="6"/>
  <c r="H77" i="6"/>
  <c r="H88" i="6"/>
  <c r="R87" i="6"/>
  <c r="R78" i="6"/>
  <c r="R90" i="6"/>
  <c r="R81" i="6"/>
  <c r="R92" i="6"/>
  <c r="R84" i="6"/>
  <c r="R76" i="6"/>
  <c r="R79" i="6"/>
  <c r="R88" i="6"/>
  <c r="R77" i="6"/>
  <c r="R75" i="6"/>
  <c r="R83" i="6"/>
  <c r="R93" i="6"/>
  <c r="R91" i="6"/>
  <c r="R74" i="6"/>
  <c r="N93" i="6"/>
  <c r="N79" i="6"/>
  <c r="N91" i="6"/>
  <c r="N77" i="6"/>
  <c r="N90" i="6"/>
  <c r="N74" i="6"/>
  <c r="N92" i="6"/>
  <c r="N86" i="6"/>
  <c r="N87" i="6"/>
  <c r="N76" i="6"/>
  <c r="T81" i="6"/>
  <c r="T77" i="6"/>
  <c r="T92" i="6"/>
  <c r="T87" i="6"/>
  <c r="N83" i="6"/>
  <c r="T76" i="6"/>
  <c r="N81" i="6"/>
  <c r="H91" i="6"/>
  <c r="N88" i="6"/>
  <c r="N84" i="6"/>
</calcChain>
</file>

<file path=xl/sharedStrings.xml><?xml version="1.0" encoding="utf-8"?>
<sst xmlns="http://schemas.openxmlformats.org/spreadsheetml/2006/main" count="1903" uniqueCount="191">
  <si>
    <t>Department:  Accounting</t>
  </si>
  <si>
    <t># of</t>
  </si>
  <si>
    <t>Degrees</t>
  </si>
  <si>
    <t>Majors</t>
  </si>
  <si>
    <t>Conferred</t>
  </si>
  <si>
    <t># of Majors &amp; Degrees Conferred:</t>
  </si>
  <si>
    <t>Student Credit Hours Generated:</t>
  </si>
  <si>
    <t>(Base courses only)</t>
  </si>
  <si>
    <t>Lower Division (0-299 level)</t>
  </si>
  <si>
    <t>Upper Division (300-699 level)</t>
  </si>
  <si>
    <t>Graduate I (700-899 level)</t>
  </si>
  <si>
    <t>Graduate II (900-999 level)</t>
  </si>
  <si>
    <t>Total</t>
  </si>
  <si>
    <t>Instructional Expenditures</t>
  </si>
  <si>
    <t>Research/Public Serv. Expenditures</t>
  </si>
  <si>
    <t>Grants/Contracts Awarded:</t>
  </si>
  <si>
    <t>FTE</t>
  </si>
  <si>
    <t xml:space="preserve">       (per Instructional FTE)</t>
  </si>
  <si>
    <t>Courses</t>
  </si>
  <si>
    <t>SCH</t>
  </si>
  <si>
    <t>Scheduled Courses:</t>
  </si>
  <si>
    <t>Tenured/Tenured-Track Faculty</t>
  </si>
  <si>
    <t>Other Teaching Personnel</t>
  </si>
  <si>
    <t>Scheduled &amp; Appt. Courses:</t>
  </si>
  <si>
    <t xml:space="preserve">Department:  Finance  </t>
  </si>
  <si>
    <t xml:space="preserve">Department:  Management </t>
  </si>
  <si>
    <t xml:space="preserve"> </t>
  </si>
  <si>
    <t>xxxxx</t>
  </si>
  <si>
    <t>Accounting - 52.0301</t>
  </si>
  <si>
    <t>Undergraduate Program</t>
  </si>
  <si>
    <t>Department:  General Business  (Dean's Office)</t>
  </si>
  <si>
    <t>Department:  Marketing and International Business</t>
  </si>
  <si>
    <t>Industrial and Labor Relations - 52.1002*</t>
  </si>
  <si>
    <t>GTA's (Instructor of Record Only)</t>
  </si>
  <si>
    <t>Total*</t>
  </si>
  <si>
    <t>Department Total*</t>
  </si>
  <si>
    <t>*Includes all instructor and non-instructor of record</t>
  </si>
  <si>
    <t>Fall 2001 data cannot be compared to prior years due to a change in figuring FTE. (Courses/total FTE and SCH/ Instr. FTE.)</t>
  </si>
  <si>
    <t>**Fall 2002 Course Activity Load Information will not be completed at this time.</t>
  </si>
  <si>
    <t>FY 2004</t>
  </si>
  <si>
    <t>FY 2005</t>
  </si>
  <si>
    <t>Fall 2003</t>
  </si>
  <si>
    <t>Fall 2004</t>
  </si>
  <si>
    <t>Faculty Demographics:</t>
  </si>
  <si>
    <t xml:space="preserve">Instructional </t>
  </si>
  <si>
    <t>Full-time</t>
  </si>
  <si>
    <t xml:space="preserve">Research </t>
  </si>
  <si>
    <t>Grants/Contracts Proposed:</t>
  </si>
  <si>
    <t>Finance (Finance, General )- 52.0801</t>
  </si>
  <si>
    <t>Management (Business Administration &amp; Management) - 52.0201</t>
  </si>
  <si>
    <t>*Inactive since 11/03.</t>
  </si>
  <si>
    <t>B. Financial Information:</t>
  </si>
  <si>
    <t>Budgeted Dollars:</t>
  </si>
  <si>
    <t>Main Campus</t>
  </si>
  <si>
    <t>General Use</t>
  </si>
  <si>
    <t xml:space="preserve">Sponsored Research Overhead </t>
  </si>
  <si>
    <t>Total Main Campus</t>
  </si>
  <si>
    <t>Research &amp; Extension</t>
  </si>
  <si>
    <t>Sponsored Research Overhead</t>
  </si>
  <si>
    <t>Total Research &amp; Extension</t>
  </si>
  <si>
    <t>Total Department</t>
  </si>
  <si>
    <t>A.  Student Information</t>
  </si>
  <si>
    <t>C. Faculty Information</t>
  </si>
  <si>
    <r>
      <t xml:space="preserve">E.  Course Activity Loads - </t>
    </r>
    <r>
      <rPr>
        <sz val="10"/>
        <rFont val="Arial"/>
        <family val="2"/>
      </rPr>
      <t>(</t>
    </r>
    <r>
      <rPr>
        <i/>
        <sz val="10"/>
        <rFont val="Arial"/>
        <family val="2"/>
      </rPr>
      <t>per Instructional FTE)</t>
    </r>
  </si>
  <si>
    <t>Minor's Program</t>
  </si>
  <si>
    <t>Other (Grants, contracts, SRO, fees, sales &amp; service, copy centers, storerooms, etc)</t>
  </si>
  <si>
    <t>Foundation Accounts:</t>
  </si>
  <si>
    <t xml:space="preserve">  </t>
  </si>
  <si>
    <t>Total Donations</t>
  </si>
  <si>
    <t>Endowed Chairs</t>
  </si>
  <si>
    <t>Budgeted Dollars*:</t>
  </si>
  <si>
    <t>Total College</t>
  </si>
  <si>
    <t>Grad Certificate Program</t>
  </si>
  <si>
    <t>White</t>
  </si>
  <si>
    <t>Black</t>
  </si>
  <si>
    <t>Hispanic</t>
  </si>
  <si>
    <t>Native American</t>
  </si>
  <si>
    <t xml:space="preserve">Asian </t>
  </si>
  <si>
    <t>Non-Resident</t>
  </si>
  <si>
    <t>Unknown</t>
  </si>
  <si>
    <t>Male</t>
  </si>
  <si>
    <t>Female</t>
  </si>
  <si>
    <t>Tenure</t>
  </si>
  <si>
    <t>Tenure-Track</t>
  </si>
  <si>
    <t>Non-Tenured</t>
  </si>
  <si>
    <t>Ph. D.</t>
  </si>
  <si>
    <t>M.S.</t>
  </si>
  <si>
    <t>B.S.</t>
  </si>
  <si>
    <t>Other</t>
  </si>
  <si>
    <t>N</t>
  </si>
  <si>
    <t>%</t>
  </si>
  <si>
    <t>Undergraduate Certificate Program</t>
  </si>
  <si>
    <t>Ethnicity</t>
  </si>
  <si>
    <t>Gender</t>
  </si>
  <si>
    <t>Tenure Status</t>
  </si>
  <si>
    <t>Highest Degree</t>
  </si>
  <si>
    <t>$</t>
  </si>
  <si>
    <t>FY 2006</t>
  </si>
  <si>
    <t>Graduate Certificate Program</t>
  </si>
  <si>
    <t>xxx</t>
  </si>
  <si>
    <t>Total Annual Donations</t>
  </si>
  <si>
    <r>
      <t>Secondary Major</t>
    </r>
    <r>
      <rPr>
        <vertAlign val="superscript"/>
        <sz val="9"/>
        <rFont val="Arial"/>
        <family val="2"/>
      </rPr>
      <t>a</t>
    </r>
  </si>
  <si>
    <r>
      <t>a</t>
    </r>
    <r>
      <rPr>
        <sz val="8"/>
        <rFont val="Arial"/>
        <family val="2"/>
      </rPr>
      <t>Discontinued Fall 2003</t>
    </r>
  </si>
  <si>
    <t>*Includes Instructional Support and Instructional Reserve.</t>
  </si>
  <si>
    <t xml:space="preserve">Academic Units </t>
  </si>
  <si>
    <t xml:space="preserve">Research &amp; Extension Units </t>
  </si>
  <si>
    <t xml:space="preserve">Total Grants &amp; Contracts Proposed </t>
  </si>
  <si>
    <t xml:space="preserve">Total Grants &amp; Contracts </t>
  </si>
  <si>
    <t>FY 2007</t>
  </si>
  <si>
    <t>FY 2008</t>
  </si>
  <si>
    <t xml:space="preserve"> Number of majors &amp; degrees includes second majors</t>
  </si>
  <si>
    <t>FY 2009</t>
  </si>
  <si>
    <t xml:space="preserve">Undergraduate Certificate Program </t>
  </si>
  <si>
    <t>International Business 52.1101</t>
  </si>
  <si>
    <t>Department Profile Report - FY 2009</t>
  </si>
  <si>
    <t xml:space="preserve">Graduate Assistants </t>
  </si>
  <si>
    <t>GRAs</t>
  </si>
  <si>
    <t>GTAs</t>
  </si>
  <si>
    <t>Five Year Average</t>
  </si>
  <si>
    <t xml:space="preserve">     1.  Their Undergraduate Majors</t>
  </si>
  <si>
    <t xml:space="preserve">     2.  Their Graduate Majors</t>
  </si>
  <si>
    <t xml:space="preserve">     3.  Non-Majors</t>
  </si>
  <si>
    <t xml:space="preserve">     1.  Tenure/Tenure Track Faculty</t>
  </si>
  <si>
    <t xml:space="preserve">     2.  Graduate Teaching Assistants</t>
  </si>
  <si>
    <t xml:space="preserve">            a.  Instructor of Record</t>
  </si>
  <si>
    <t xml:space="preserve">            b.  Not Instructor of Record</t>
  </si>
  <si>
    <t xml:space="preserve">     3.  Other</t>
  </si>
  <si>
    <t xml:space="preserve">     4.  Total FTE (1 to 3)</t>
  </si>
  <si>
    <t xml:space="preserve">     5.  SCH Generated by Faculty</t>
  </si>
  <si>
    <t xml:space="preserve">     6.  SCH Generated by GTA's</t>
  </si>
  <si>
    <t xml:space="preserve">     7.  SCH Generated by Others</t>
  </si>
  <si>
    <t xml:space="preserve">    12.  Ave. SCH per FTE</t>
  </si>
  <si>
    <t>Fall 2005</t>
  </si>
  <si>
    <t>Fall 2006</t>
  </si>
  <si>
    <t>Fall 2007</t>
  </si>
  <si>
    <t>Fall 2008</t>
  </si>
  <si>
    <t>% Departmental SCH taken by:</t>
  </si>
  <si>
    <t>SCH:</t>
  </si>
  <si>
    <t>RATE (SCH per FTE):</t>
  </si>
  <si>
    <t xml:space="preserve">     9.  Ave. SCH per Tenure/ Ten Trk </t>
  </si>
  <si>
    <t xml:space="preserve">    10. Ave. SCH per GTA (I of R only)</t>
  </si>
  <si>
    <t xml:space="preserve">    11. Ave. SCH per Other Faculty</t>
  </si>
  <si>
    <t xml:space="preserve">     8.            Total SCH</t>
  </si>
  <si>
    <t xml:space="preserve">Instructional FTE: </t>
  </si>
  <si>
    <t>Part-time</t>
  </si>
  <si>
    <t>4*</t>
  </si>
  <si>
    <t>0*</t>
  </si>
  <si>
    <t>GAs</t>
  </si>
  <si>
    <t>% College SCH taken by:</t>
  </si>
  <si>
    <t>Endowed Faculty Support Funds</t>
  </si>
  <si>
    <t>Number of majors &amp; degrees includes second majors</t>
  </si>
  <si>
    <t>Bachelor's Program</t>
  </si>
  <si>
    <t>Master's Program</t>
  </si>
  <si>
    <t>*Secondary major - discontinued for FY 2008</t>
  </si>
  <si>
    <t>Bachelor's Programs</t>
  </si>
  <si>
    <t>Minor's Programs</t>
  </si>
  <si>
    <t>Master's Programs</t>
  </si>
  <si>
    <t>Business Administration - 52.0201</t>
  </si>
  <si>
    <t xml:space="preserve">Graduate Certificate Program </t>
  </si>
  <si>
    <t>Business Administration Pre-Prof - 24.0102</t>
  </si>
  <si>
    <t>Organizational Leadership -  52.1003</t>
  </si>
  <si>
    <t>Business Administration (Business Administration and Management , General)- 52.0101</t>
  </si>
  <si>
    <t>Business Administration- Major Unspecified- 24.0102</t>
  </si>
  <si>
    <t>Marketing - 52.1401</t>
  </si>
  <si>
    <t>FY 2010</t>
  </si>
  <si>
    <t>Entrepreneurship - 52.0701</t>
  </si>
  <si>
    <t>Fall 2009</t>
  </si>
  <si>
    <t>Integrated Investment Mgmt -  52.0801</t>
  </si>
  <si>
    <t>Graduate Program</t>
  </si>
  <si>
    <t>FY 2011</t>
  </si>
  <si>
    <t>Fall 2010</t>
  </si>
  <si>
    <t>Fall 2009*</t>
  </si>
  <si>
    <t>Two or More Races</t>
  </si>
  <si>
    <t>Expenditures (General Use &amp; SRO Only)</t>
  </si>
  <si>
    <t>Mgmt. of Animal Health Rel Org. -  52.1301</t>
  </si>
  <si>
    <t>Business Administration- grad nondegree- 52.0101</t>
  </si>
  <si>
    <t>FY 2012</t>
  </si>
  <si>
    <t>Fall 2011</t>
  </si>
  <si>
    <t>Management Information Systems- 52.1201</t>
  </si>
  <si>
    <t>FY 2013</t>
  </si>
  <si>
    <t>Fall 2012</t>
  </si>
  <si>
    <t>Undergraduate Certificate</t>
  </si>
  <si>
    <t>Profess. Strategic Selling - 52.1804</t>
  </si>
  <si>
    <t>FY 2014</t>
  </si>
  <si>
    <t>Fall 2013</t>
  </si>
  <si>
    <t>*Note: For the 2009 collection cycle and later, Instructional FTE was defined according to the national Delaware Study of Instructional Costs and Productivity</t>
  </si>
  <si>
    <t>Minor Program</t>
  </si>
  <si>
    <t>FY 2015</t>
  </si>
  <si>
    <t>Fall 2014</t>
  </si>
  <si>
    <t>College Of Business Summary Report 2010-2015</t>
  </si>
  <si>
    <t>Department Profile Report - FY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</si>
</sst>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5" formatCode="&quot;$&quot;#,##0_);\(&quot;$&quot;#,##0\)"/>
    <numFmt numFmtId="42" formatCode="_(&quot;$&quot;* #,##0_);_(&quot;$&quot;* \(#,##0\);_(&quot;$&quot;* &quot;-&quot;_);_(@_)"/>
    <numFmt numFmtId="164" formatCode="&quot;$&quot;#,##0\ ;\(&quot;$&quot;#,##0\)"/>
    <numFmt numFmtId="165" formatCode="&quot;$&quot;#,##0.00\ ;\(&quot;$&quot;#,##0.00\)"/>
    <numFmt numFmtId="166" formatCode="0.0%"/>
    <numFmt numFmtId="167" formatCode="#,##0.0"/>
    <numFmt numFmtId="168" formatCode="_(* #,##0_);_(* \(#,##0\);_(* &quot;-&quot;??_);_(@_)"/>
    <numFmt numFmtId="169" formatCode="&quot;$&quot;#,##0"/>
    <numFmt numFmtId="170" formatCode="&quot;$&quot;#,##0.00"/>
    <numFmt numFmtId="171" formatCode="0.0"/>
    <numFmt numFmtId="172" formatCode="&quot;$&quot;#,##0.00;[Red]&quot;$&quot;#,##0.00"/>
    <numFmt numFmtId="173" formatCode="&quot;$&quot;#,##0;[Red]&quot;$&quot;#,##0"/>
  </numFmts>
  <fonts count="20" x14ac:knownFonts="1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7"/>
      <name val="Arial"/>
      <family val="2"/>
    </font>
    <font>
      <sz val="10"/>
      <name val="Arial"/>
      <family val="2"/>
    </font>
    <font>
      <sz val="8"/>
      <name val="Arial"/>
      <family val="2"/>
    </font>
    <font>
      <u/>
      <sz val="9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vertAlign val="superscript"/>
      <sz val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31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</borders>
  <cellStyleXfs count="16">
    <xf numFmtId="0" fontId="0" fillId="0" borderId="0"/>
    <xf numFmtId="4" fontId="19" fillId="0" borderId="0" applyFont="0" applyFill="0" applyBorder="0" applyAlignment="0" applyProtection="0"/>
    <xf numFmtId="4" fontId="16" fillId="0" borderId="0" applyFill="0" applyBorder="0" applyAlignment="0" applyProtection="0"/>
    <xf numFmtId="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6" fillId="0" borderId="0"/>
    <xf numFmtId="10" fontId="19" fillId="0" borderId="0" applyFont="0" applyFill="0" applyBorder="0" applyAlignment="0" applyProtection="0"/>
    <xf numFmtId="10" fontId="16" fillId="0" borderId="0" applyFill="0" applyBorder="0" applyAlignment="0" applyProtection="0"/>
    <xf numFmtId="0" fontId="19" fillId="0" borderId="1" applyNumberFormat="0" applyFont="0" applyFill="0" applyAlignment="0" applyProtection="0"/>
  </cellStyleXfs>
  <cellXfs count="1242">
    <xf numFmtId="0" fontId="0" fillId="0" borderId="0" xfId="0"/>
    <xf numFmtId="0" fontId="4" fillId="0" borderId="0" xfId="0" applyFont="1"/>
    <xf numFmtId="0" fontId="3" fillId="0" borderId="0" xfId="0" applyFont="1"/>
    <xf numFmtId="0" fontId="7" fillId="0" borderId="0" xfId="0" applyFont="1"/>
    <xf numFmtId="0" fontId="3" fillId="0" borderId="2" xfId="0" applyFont="1" applyBorder="1" applyAlignment="1">
      <alignment horizontal="centerContinuous"/>
    </xf>
    <xf numFmtId="0" fontId="3" fillId="0" borderId="3" xfId="0" applyFont="1" applyBorder="1" applyAlignment="1">
      <alignment horizontal="center"/>
    </xf>
    <xf numFmtId="0" fontId="4" fillId="0" borderId="3" xfId="0" applyFont="1" applyBorder="1"/>
    <xf numFmtId="0" fontId="4" fillId="0" borderId="4" xfId="0" applyFont="1" applyBorder="1"/>
    <xf numFmtId="0" fontId="3" fillId="0" borderId="5" xfId="0" applyFont="1" applyBorder="1" applyAlignment="1">
      <alignment horizontal="centerContinuous"/>
    </xf>
    <xf numFmtId="0" fontId="3" fillId="0" borderId="6" xfId="0" applyFont="1" applyBorder="1" applyAlignment="1">
      <alignment horizontal="center"/>
    </xf>
    <xf numFmtId="0" fontId="4" fillId="0" borderId="6" xfId="0" applyFont="1" applyBorder="1"/>
    <xf numFmtId="0" fontId="4" fillId="0" borderId="7" xfId="0" applyFont="1" applyBorder="1"/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3" fillId="0" borderId="11" xfId="0" applyFont="1" applyBorder="1"/>
    <xf numFmtId="0" fontId="4" fillId="0" borderId="12" xfId="0" applyFont="1" applyBorder="1"/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4" fillId="0" borderId="15" xfId="0" applyFont="1" applyBorder="1"/>
    <xf numFmtId="3" fontId="4" fillId="0" borderId="6" xfId="1" applyNumberFormat="1" applyFont="1" applyBorder="1"/>
    <xf numFmtId="0" fontId="3" fillId="0" borderId="16" xfId="0" applyFont="1" applyBorder="1" applyAlignment="1">
      <alignment horizontal="centerContinuous"/>
    </xf>
    <xf numFmtId="0" fontId="3" fillId="0" borderId="17" xfId="0" applyFont="1" applyBorder="1" applyAlignment="1">
      <alignment horizontal="centerContinuous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4" fillId="0" borderId="21" xfId="0" applyFont="1" applyBorder="1"/>
    <xf numFmtId="0" fontId="4" fillId="0" borderId="22" xfId="0" applyFont="1" applyBorder="1"/>
    <xf numFmtId="0" fontId="4" fillId="0" borderId="18" xfId="0" applyFont="1" applyBorder="1"/>
    <xf numFmtId="0" fontId="4" fillId="0" borderId="19" xfId="0" applyFont="1" applyBorder="1"/>
    <xf numFmtId="0" fontId="4" fillId="0" borderId="23" xfId="0" applyFont="1" applyBorder="1"/>
    <xf numFmtId="0" fontId="4" fillId="0" borderId="24" xfId="0" applyFont="1" applyBorder="1"/>
    <xf numFmtId="4" fontId="4" fillId="0" borderId="19" xfId="0" applyNumberFormat="1" applyFont="1" applyBorder="1" applyAlignment="1">
      <alignment horizontal="center"/>
    </xf>
    <xf numFmtId="0" fontId="4" fillId="0" borderId="25" xfId="0" applyFont="1" applyBorder="1"/>
    <xf numFmtId="0" fontId="4" fillId="0" borderId="26" xfId="0" applyFont="1" applyBorder="1"/>
    <xf numFmtId="0" fontId="3" fillId="0" borderId="27" xfId="0" applyFont="1" applyBorder="1"/>
    <xf numFmtId="164" fontId="4" fillId="0" borderId="27" xfId="0" applyNumberFormat="1" applyFont="1" applyBorder="1"/>
    <xf numFmtId="164" fontId="4" fillId="0" borderId="25" xfId="0" applyNumberFormat="1" applyFont="1" applyBorder="1"/>
    <xf numFmtId="164" fontId="4" fillId="0" borderId="28" xfId="0" applyNumberFormat="1" applyFont="1" applyBorder="1"/>
    <xf numFmtId="164" fontId="4" fillId="0" borderId="0" xfId="0" applyNumberFormat="1" applyFont="1" applyBorder="1"/>
    <xf numFmtId="0" fontId="4" fillId="0" borderId="19" xfId="0" applyFont="1" applyBorder="1" applyAlignment="1">
      <alignment horizontal="right"/>
    </xf>
    <xf numFmtId="4" fontId="4" fillId="0" borderId="24" xfId="0" applyNumberFormat="1" applyFont="1" applyBorder="1" applyAlignment="1">
      <alignment horizontal="center"/>
    </xf>
    <xf numFmtId="0" fontId="4" fillId="0" borderId="29" xfId="0" applyFont="1" applyBorder="1"/>
    <xf numFmtId="0" fontId="4" fillId="0" borderId="30" xfId="0" applyFont="1" applyBorder="1"/>
    <xf numFmtId="0" fontId="4" fillId="0" borderId="31" xfId="0" applyFont="1" applyBorder="1"/>
    <xf numFmtId="0" fontId="3" fillId="0" borderId="32" xfId="0" applyFont="1" applyBorder="1"/>
    <xf numFmtId="0" fontId="5" fillId="0" borderId="33" xfId="0" applyFont="1" applyBorder="1"/>
    <xf numFmtId="0" fontId="4" fillId="0" borderId="33" xfId="0" applyFont="1" applyBorder="1" applyAlignment="1">
      <alignment horizontal="right"/>
    </xf>
    <xf numFmtId="0" fontId="4" fillId="0" borderId="34" xfId="0" applyFont="1" applyBorder="1" applyAlignment="1">
      <alignment horizontal="right"/>
    </xf>
    <xf numFmtId="0" fontId="4" fillId="0" borderId="33" xfId="0" applyFont="1" applyBorder="1"/>
    <xf numFmtId="0" fontId="3" fillId="0" borderId="34" xfId="0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3" fillId="0" borderId="33" xfId="0" applyFont="1" applyBorder="1"/>
    <xf numFmtId="3" fontId="4" fillId="0" borderId="26" xfId="0" applyNumberFormat="1" applyFont="1" applyBorder="1"/>
    <xf numFmtId="3" fontId="3" fillId="0" borderId="27" xfId="0" applyNumberFormat="1" applyFont="1" applyBorder="1" applyAlignment="1">
      <alignment horizontal="right"/>
    </xf>
    <xf numFmtId="164" fontId="4" fillId="0" borderId="25" xfId="0" applyNumberFormat="1" applyFont="1" applyBorder="1" applyAlignment="1">
      <alignment horizontal="center"/>
    </xf>
    <xf numFmtId="0" fontId="4" fillId="0" borderId="3" xfId="0" applyFont="1" applyBorder="1" applyAlignment="1">
      <alignment horizontal="right"/>
    </xf>
    <xf numFmtId="164" fontId="4" fillId="0" borderId="27" xfId="0" applyNumberFormat="1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4" fillId="0" borderId="0" xfId="0" applyFont="1" applyBorder="1"/>
    <xf numFmtId="0" fontId="5" fillId="0" borderId="0" xfId="0" applyFont="1"/>
    <xf numFmtId="0" fontId="4" fillId="0" borderId="0" xfId="0" applyFont="1" applyBorder="1" applyAlignment="1">
      <alignment horizontal="center"/>
    </xf>
    <xf numFmtId="0" fontId="11" fillId="0" borderId="0" xfId="0" applyFont="1" applyBorder="1" applyAlignment="1">
      <alignment horizontal="left"/>
    </xf>
    <xf numFmtId="0" fontId="4" fillId="0" borderId="22" xfId="0" applyFont="1" applyBorder="1" applyAlignment="1">
      <alignment horizontal="right"/>
    </xf>
    <xf numFmtId="2" fontId="4" fillId="0" borderId="18" xfId="0" applyNumberFormat="1" applyFont="1" applyBorder="1"/>
    <xf numFmtId="2" fontId="4" fillId="0" borderId="21" xfId="0" applyNumberFormat="1" applyFont="1" applyBorder="1"/>
    <xf numFmtId="2" fontId="4" fillId="0" borderId="35" xfId="0" applyNumberFormat="1" applyFont="1" applyBorder="1"/>
    <xf numFmtId="2" fontId="3" fillId="0" borderId="36" xfId="0" applyNumberFormat="1" applyFont="1" applyBorder="1" applyAlignment="1">
      <alignment horizontal="center"/>
    </xf>
    <xf numFmtId="2" fontId="3" fillId="0" borderId="37" xfId="0" applyNumberFormat="1" applyFont="1" applyBorder="1" applyAlignment="1">
      <alignment horizontal="center"/>
    </xf>
    <xf numFmtId="2" fontId="3" fillId="0" borderId="18" xfId="0" applyNumberFormat="1" applyFont="1" applyBorder="1"/>
    <xf numFmtId="2" fontId="3" fillId="0" borderId="23" xfId="0" applyNumberFormat="1" applyFont="1" applyBorder="1"/>
    <xf numFmtId="2" fontId="3" fillId="0" borderId="13" xfId="0" applyNumberFormat="1" applyFont="1" applyBorder="1" applyAlignment="1">
      <alignment horizontal="center"/>
    </xf>
    <xf numFmtId="2" fontId="4" fillId="0" borderId="9" xfId="0" applyNumberFormat="1" applyFont="1" applyBorder="1"/>
    <xf numFmtId="2" fontId="3" fillId="0" borderId="20" xfId="0" applyNumberFormat="1" applyFont="1" applyBorder="1" applyAlignment="1">
      <alignment horizontal="center"/>
    </xf>
    <xf numFmtId="2" fontId="4" fillId="0" borderId="22" xfId="0" applyNumberFormat="1" applyFont="1" applyBorder="1"/>
    <xf numFmtId="2" fontId="4" fillId="0" borderId="19" xfId="0" applyNumberFormat="1" applyFont="1" applyBorder="1"/>
    <xf numFmtId="2" fontId="3" fillId="0" borderId="19" xfId="0" applyNumberFormat="1" applyFont="1" applyBorder="1"/>
    <xf numFmtId="2" fontId="3" fillId="0" borderId="24" xfId="0" applyNumberFormat="1" applyFont="1" applyBorder="1"/>
    <xf numFmtId="0" fontId="4" fillId="0" borderId="38" xfId="0" applyNumberFormat="1" applyFont="1" applyBorder="1" applyAlignment="1">
      <alignment horizontal="right"/>
    </xf>
    <xf numFmtId="2" fontId="4" fillId="0" borderId="6" xfId="0" applyNumberFormat="1" applyFont="1" applyBorder="1" applyAlignment="1">
      <alignment horizontal="right"/>
    </xf>
    <xf numFmtId="2" fontId="4" fillId="0" borderId="39" xfId="0" applyNumberFormat="1" applyFont="1" applyBorder="1" applyAlignment="1">
      <alignment horizontal="right"/>
    </xf>
    <xf numFmtId="2" fontId="3" fillId="0" borderId="6" xfId="0" applyNumberFormat="1" applyFont="1" applyBorder="1" applyAlignment="1">
      <alignment horizontal="right"/>
    </xf>
    <xf numFmtId="2" fontId="3" fillId="0" borderId="39" xfId="0" applyNumberFormat="1" applyFont="1" applyBorder="1" applyAlignment="1">
      <alignment horizontal="right"/>
    </xf>
    <xf numFmtId="2" fontId="3" fillId="0" borderId="7" xfId="0" applyNumberFormat="1" applyFont="1" applyBorder="1" applyAlignment="1">
      <alignment horizontal="right"/>
    </xf>
    <xf numFmtId="2" fontId="3" fillId="0" borderId="40" xfId="0" applyNumberFormat="1" applyFont="1" applyBorder="1" applyAlignment="1">
      <alignment horizontal="right"/>
    </xf>
    <xf numFmtId="0" fontId="3" fillId="0" borderId="41" xfId="0" applyFont="1" applyBorder="1" applyAlignment="1">
      <alignment horizontal="center"/>
    </xf>
    <xf numFmtId="0" fontId="3" fillId="0" borderId="42" xfId="0" applyFont="1" applyBorder="1" applyAlignment="1">
      <alignment horizontal="center"/>
    </xf>
    <xf numFmtId="0" fontId="4" fillId="0" borderId="43" xfId="0" applyFont="1" applyBorder="1"/>
    <xf numFmtId="0" fontId="4" fillId="0" borderId="44" xfId="0" applyFont="1" applyBorder="1"/>
    <xf numFmtId="0" fontId="4" fillId="0" borderId="7" xfId="0" applyFont="1" applyBorder="1" applyAlignment="1">
      <alignment horizontal="right"/>
    </xf>
    <xf numFmtId="0" fontId="4" fillId="0" borderId="27" xfId="0" applyFont="1" applyBorder="1"/>
    <xf numFmtId="0" fontId="4" fillId="0" borderId="6" xfId="0" applyNumberFormat="1" applyFont="1" applyBorder="1" applyAlignment="1"/>
    <xf numFmtId="0" fontId="3" fillId="0" borderId="0" xfId="0" applyFont="1" applyBorder="1"/>
    <xf numFmtId="164" fontId="4" fillId="0" borderId="0" xfId="0" applyNumberFormat="1" applyFont="1" applyBorder="1" applyAlignment="1">
      <alignment horizontal="right"/>
    </xf>
    <xf numFmtId="5" fontId="4" fillId="0" borderId="0" xfId="0" applyNumberFormat="1" applyFont="1" applyBorder="1" applyAlignment="1">
      <alignment horizontal="right"/>
    </xf>
    <xf numFmtId="164" fontId="4" fillId="0" borderId="0" xfId="0" applyNumberFormat="1" applyFont="1" applyBorder="1" applyAlignment="1">
      <alignment horizontal="center"/>
    </xf>
    <xf numFmtId="3" fontId="3" fillId="0" borderId="26" xfId="0" applyNumberFormat="1" applyFont="1" applyBorder="1"/>
    <xf numFmtId="0" fontId="3" fillId="0" borderId="45" xfId="0" applyFont="1" applyBorder="1" applyAlignment="1">
      <alignment horizontal="center"/>
    </xf>
    <xf numFmtId="3" fontId="3" fillId="0" borderId="28" xfId="0" applyNumberFormat="1" applyFont="1" applyBorder="1" applyAlignment="1">
      <alignment horizontal="right"/>
    </xf>
    <xf numFmtId="0" fontId="3" fillId="0" borderId="28" xfId="0" applyFont="1" applyBorder="1" applyAlignment="1">
      <alignment horizontal="right"/>
    </xf>
    <xf numFmtId="1" fontId="4" fillId="0" borderId="26" xfId="0" applyNumberFormat="1" applyFont="1" applyBorder="1" applyAlignment="1">
      <alignment horizontal="center"/>
    </xf>
    <xf numFmtId="1" fontId="4" fillId="0" borderId="6" xfId="0" applyNumberFormat="1" applyFont="1" applyBorder="1" applyAlignment="1">
      <alignment horizontal="right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3" fontId="3" fillId="0" borderId="1" xfId="0" applyNumberFormat="1" applyFont="1" applyBorder="1"/>
    <xf numFmtId="0" fontId="7" fillId="0" borderId="0" xfId="0" applyFont="1" applyBorder="1"/>
    <xf numFmtId="0" fontId="3" fillId="0" borderId="26" xfId="0" applyFont="1" applyBorder="1"/>
    <xf numFmtId="0" fontId="4" fillId="0" borderId="46" xfId="0" applyFont="1" applyBorder="1"/>
    <xf numFmtId="0" fontId="4" fillId="0" borderId="47" xfId="0" applyFont="1" applyBorder="1"/>
    <xf numFmtId="0" fontId="4" fillId="0" borderId="48" xfId="0" applyFont="1" applyBorder="1"/>
    <xf numFmtId="3" fontId="4" fillId="0" borderId="22" xfId="0" applyNumberFormat="1" applyFont="1" applyBorder="1" applyAlignment="1">
      <alignment horizontal="right"/>
    </xf>
    <xf numFmtId="0" fontId="4" fillId="0" borderId="9" xfId="0" applyFont="1" applyFill="1" applyBorder="1"/>
    <xf numFmtId="3" fontId="4" fillId="0" borderId="9" xfId="1" applyNumberFormat="1" applyFont="1" applyBorder="1"/>
    <xf numFmtId="3" fontId="4" fillId="0" borderId="48" xfId="0" applyNumberFormat="1" applyFont="1" applyBorder="1"/>
    <xf numFmtId="164" fontId="4" fillId="0" borderId="48" xfId="0" applyNumberFormat="1" applyFont="1" applyBorder="1"/>
    <xf numFmtId="164" fontId="4" fillId="0" borderId="48" xfId="0" applyNumberFormat="1" applyFont="1" applyBorder="1" applyAlignment="1">
      <alignment horizontal="right"/>
    </xf>
    <xf numFmtId="164" fontId="4" fillId="0" borderId="25" xfId="0" applyNumberFormat="1" applyFont="1" applyBorder="1" applyAlignment="1">
      <alignment horizontal="right"/>
    </xf>
    <xf numFmtId="3" fontId="4" fillId="0" borderId="26" xfId="1" applyNumberFormat="1" applyFont="1" applyBorder="1" applyAlignment="1">
      <alignment horizontal="right"/>
    </xf>
    <xf numFmtId="3" fontId="4" fillId="0" borderId="19" xfId="1" applyNumberFormat="1" applyFont="1" applyBorder="1" applyAlignment="1">
      <alignment horizontal="right"/>
    </xf>
    <xf numFmtId="3" fontId="4" fillId="0" borderId="0" xfId="1" applyNumberFormat="1" applyFont="1" applyBorder="1" applyAlignment="1">
      <alignment horizontal="right"/>
    </xf>
    <xf numFmtId="3" fontId="4" fillId="0" borderId="0" xfId="1" applyNumberFormat="1" applyFont="1" applyBorder="1" applyAlignment="1">
      <alignment horizontal="center"/>
    </xf>
    <xf numFmtId="3" fontId="4" fillId="0" borderId="26" xfId="0" applyNumberFormat="1" applyFont="1" applyFill="1" applyBorder="1"/>
    <xf numFmtId="0" fontId="4" fillId="0" borderId="3" xfId="0" applyFont="1" applyFill="1" applyBorder="1"/>
    <xf numFmtId="3" fontId="3" fillId="0" borderId="27" xfId="0" applyNumberFormat="1" applyFont="1" applyBorder="1"/>
    <xf numFmtId="170" fontId="4" fillId="0" borderId="0" xfId="0" applyNumberFormat="1" applyFont="1"/>
    <xf numFmtId="164" fontId="4" fillId="0" borderId="27" xfId="0" applyNumberFormat="1" applyFont="1" applyBorder="1" applyAlignment="1">
      <alignment horizontal="center"/>
    </xf>
    <xf numFmtId="169" fontId="4" fillId="0" borderId="0" xfId="0" applyNumberFormat="1" applyFont="1"/>
    <xf numFmtId="169" fontId="4" fillId="0" borderId="28" xfId="0" applyNumberFormat="1" applyFont="1" applyBorder="1" applyAlignment="1">
      <alignment horizontal="right"/>
    </xf>
    <xf numFmtId="0" fontId="4" fillId="0" borderId="0" xfId="0" applyFont="1" applyBorder="1" applyAlignment="1">
      <alignment horizontal="left"/>
    </xf>
    <xf numFmtId="0" fontId="5" fillId="0" borderId="49" xfId="0" applyFont="1" applyBorder="1"/>
    <xf numFmtId="0" fontId="4" fillId="0" borderId="49" xfId="0" applyFont="1" applyBorder="1" applyAlignment="1">
      <alignment horizontal="right"/>
    </xf>
    <xf numFmtId="0" fontId="4" fillId="0" borderId="15" xfId="0" applyFont="1" applyBorder="1" applyAlignment="1">
      <alignment horizontal="right"/>
    </xf>
    <xf numFmtId="1" fontId="4" fillId="0" borderId="7" xfId="0" applyNumberFormat="1" applyFont="1" applyBorder="1" applyAlignment="1">
      <alignment horizontal="right"/>
    </xf>
    <xf numFmtId="0" fontId="11" fillId="0" borderId="0" xfId="0" applyFont="1" applyFill="1" applyBorder="1" applyAlignment="1">
      <alignment horizontal="left"/>
    </xf>
    <xf numFmtId="169" fontId="4" fillId="0" borderId="26" xfId="0" applyNumberFormat="1" applyFont="1" applyBorder="1"/>
    <xf numFmtId="169" fontId="4" fillId="0" borderId="46" xfId="0" applyNumberFormat="1" applyFont="1" applyBorder="1"/>
    <xf numFmtId="0" fontId="3" fillId="0" borderId="0" xfId="0" applyFont="1" applyBorder="1" applyAlignment="1">
      <alignment horizontal="center"/>
    </xf>
    <xf numFmtId="0" fontId="4" fillId="0" borderId="6" xfId="0" applyFont="1" applyBorder="1" applyAlignment="1">
      <alignment horizontal="right"/>
    </xf>
    <xf numFmtId="0" fontId="3" fillId="0" borderId="49" xfId="0" applyFont="1" applyBorder="1" applyAlignment="1">
      <alignment horizontal="left"/>
    </xf>
    <xf numFmtId="0" fontId="4" fillId="0" borderId="50" xfId="0" applyFont="1" applyBorder="1" applyAlignment="1">
      <alignment horizontal="right"/>
    </xf>
    <xf numFmtId="0" fontId="3" fillId="0" borderId="46" xfId="0" applyFont="1" applyBorder="1" applyAlignment="1">
      <alignment horizontal="right"/>
    </xf>
    <xf numFmtId="0" fontId="3" fillId="0" borderId="43" xfId="0" applyFont="1" applyBorder="1" applyAlignment="1">
      <alignment horizontal="center"/>
    </xf>
    <xf numFmtId="0" fontId="3" fillId="0" borderId="51" xfId="0" applyFont="1" applyBorder="1" applyAlignment="1">
      <alignment horizontal="centerContinuous"/>
    </xf>
    <xf numFmtId="0" fontId="3" fillId="0" borderId="52" xfId="0" applyFont="1" applyBorder="1" applyAlignment="1">
      <alignment horizontal="centerContinuous"/>
    </xf>
    <xf numFmtId="0" fontId="4" fillId="0" borderId="53" xfId="0" applyFont="1" applyBorder="1" applyAlignment="1">
      <alignment horizontal="right"/>
    </xf>
    <xf numFmtId="0" fontId="3" fillId="0" borderId="11" xfId="0" applyFont="1" applyBorder="1" applyAlignment="1">
      <alignment horizontal="left"/>
    </xf>
    <xf numFmtId="0" fontId="4" fillId="0" borderId="46" xfId="0" applyFont="1" applyFill="1" applyBorder="1" applyAlignment="1">
      <alignment horizontal="right"/>
    </xf>
    <xf numFmtId="0" fontId="3" fillId="0" borderId="9" xfId="0" applyFont="1" applyBorder="1" applyAlignment="1">
      <alignment horizontal="center"/>
    </xf>
    <xf numFmtId="0" fontId="4" fillId="0" borderId="26" xfId="0" applyFont="1" applyFill="1" applyBorder="1" applyAlignment="1">
      <alignment horizontal="right"/>
    </xf>
    <xf numFmtId="0" fontId="4" fillId="0" borderId="54" xfId="0" applyFont="1" applyBorder="1"/>
    <xf numFmtId="0" fontId="4" fillId="0" borderId="55" xfId="0" applyFont="1" applyBorder="1"/>
    <xf numFmtId="0" fontId="4" fillId="0" borderId="56" xfId="0" applyFont="1" applyBorder="1"/>
    <xf numFmtId="0" fontId="4" fillId="0" borderId="38" xfId="0" applyFont="1" applyBorder="1"/>
    <xf numFmtId="3" fontId="4" fillId="0" borderId="38" xfId="0" applyNumberFormat="1" applyFont="1" applyBorder="1"/>
    <xf numFmtId="0" fontId="3" fillId="0" borderId="57" xfId="0" applyFont="1" applyBorder="1"/>
    <xf numFmtId="3" fontId="3" fillId="0" borderId="58" xfId="0" applyNumberFormat="1" applyFont="1" applyBorder="1" applyAlignment="1">
      <alignment horizontal="right"/>
    </xf>
    <xf numFmtId="3" fontId="4" fillId="0" borderId="25" xfId="0" applyNumberFormat="1" applyFont="1" applyBorder="1"/>
    <xf numFmtId="3" fontId="3" fillId="0" borderId="26" xfId="1" applyNumberFormat="1" applyFont="1" applyBorder="1"/>
    <xf numFmtId="3" fontId="4" fillId="0" borderId="54" xfId="0" applyNumberFormat="1" applyFont="1" applyBorder="1"/>
    <xf numFmtId="3" fontId="4" fillId="0" borderId="56" xfId="0" applyNumberFormat="1" applyFont="1" applyBorder="1"/>
    <xf numFmtId="3" fontId="3" fillId="0" borderId="56" xfId="0" applyNumberFormat="1" applyFont="1" applyBorder="1"/>
    <xf numFmtId="3" fontId="3" fillId="0" borderId="38" xfId="1" applyNumberFormat="1" applyFont="1" applyBorder="1"/>
    <xf numFmtId="3" fontId="4" fillId="0" borderId="38" xfId="1" applyNumberFormat="1" applyFont="1" applyBorder="1"/>
    <xf numFmtId="3" fontId="4" fillId="0" borderId="59" xfId="0" applyNumberFormat="1" applyFont="1" applyBorder="1"/>
    <xf numFmtId="3" fontId="4" fillId="0" borderId="60" xfId="0" applyNumberFormat="1" applyFont="1" applyBorder="1"/>
    <xf numFmtId="164" fontId="4" fillId="0" borderId="56" xfId="0" applyNumberFormat="1" applyFont="1" applyBorder="1"/>
    <xf numFmtId="164" fontId="4" fillId="0" borderId="38" xfId="0" applyNumberFormat="1" applyFont="1" applyBorder="1" applyAlignment="1">
      <alignment horizontal="right"/>
    </xf>
    <xf numFmtId="164" fontId="4" fillId="0" borderId="61" xfId="0" applyNumberFormat="1" applyFont="1" applyBorder="1"/>
    <xf numFmtId="164" fontId="4" fillId="0" borderId="62" xfId="0" applyNumberFormat="1" applyFont="1" applyBorder="1" applyAlignment="1">
      <alignment horizontal="right"/>
    </xf>
    <xf numFmtId="164" fontId="4" fillId="0" borderId="63" xfId="0" applyNumberFormat="1" applyFont="1" applyBorder="1" applyAlignment="1">
      <alignment horizontal="center"/>
    </xf>
    <xf numFmtId="164" fontId="4" fillId="0" borderId="60" xfId="0" applyNumberFormat="1" applyFont="1" applyBorder="1" applyAlignment="1">
      <alignment horizontal="center"/>
    </xf>
    <xf numFmtId="0" fontId="4" fillId="0" borderId="56" xfId="0" applyNumberFormat="1" applyFont="1" applyBorder="1"/>
    <xf numFmtId="164" fontId="4" fillId="0" borderId="64" xfId="0" applyNumberFormat="1" applyFont="1" applyBorder="1"/>
    <xf numFmtId="0" fontId="4" fillId="0" borderId="65" xfId="0" applyNumberFormat="1" applyFont="1" applyBorder="1" applyAlignment="1">
      <alignment horizontal="right"/>
    </xf>
    <xf numFmtId="0" fontId="4" fillId="0" borderId="61" xfId="0" applyNumberFormat="1" applyFont="1" applyBorder="1"/>
    <xf numFmtId="164" fontId="4" fillId="0" borderId="59" xfId="0" applyNumberFormat="1" applyFont="1" applyBorder="1"/>
    <xf numFmtId="164" fontId="4" fillId="0" borderId="60" xfId="0" applyNumberFormat="1" applyFont="1" applyBorder="1" applyAlignment="1">
      <alignment horizontal="right"/>
    </xf>
    <xf numFmtId="164" fontId="4" fillId="0" borderId="63" xfId="0" applyNumberFormat="1" applyFont="1" applyBorder="1"/>
    <xf numFmtId="164" fontId="4" fillId="0" borderId="54" xfId="0" applyNumberFormat="1" applyFont="1" applyBorder="1"/>
    <xf numFmtId="164" fontId="4" fillId="0" borderId="55" xfId="0" applyNumberFormat="1" applyFont="1" applyBorder="1" applyAlignment="1">
      <alignment horizontal="right"/>
    </xf>
    <xf numFmtId="164" fontId="4" fillId="0" borderId="57" xfId="0" applyNumberFormat="1" applyFont="1" applyBorder="1"/>
    <xf numFmtId="3" fontId="4" fillId="0" borderId="25" xfId="1" applyNumberFormat="1" applyFont="1" applyBorder="1"/>
    <xf numFmtId="3" fontId="4" fillId="0" borderId="26" xfId="1" applyNumberFormat="1" applyFont="1" applyBorder="1"/>
    <xf numFmtId="164" fontId="4" fillId="0" borderId="48" xfId="0" applyNumberFormat="1" applyFont="1" applyBorder="1" applyAlignment="1">
      <alignment horizontal="center"/>
    </xf>
    <xf numFmtId="3" fontId="4" fillId="0" borderId="55" xfId="1" applyNumberFormat="1" applyFont="1" applyBorder="1"/>
    <xf numFmtId="5" fontId="4" fillId="0" borderId="62" xfId="0" applyNumberFormat="1" applyFont="1" applyBorder="1" applyAlignment="1">
      <alignment horizontal="right"/>
    </xf>
    <xf numFmtId="5" fontId="4" fillId="0" borderId="60" xfId="0" applyNumberFormat="1" applyFont="1" applyBorder="1" applyAlignment="1">
      <alignment horizontal="right"/>
    </xf>
    <xf numFmtId="5" fontId="4" fillId="0" borderId="66" xfId="0" applyNumberFormat="1" applyFont="1" applyBorder="1" applyAlignment="1">
      <alignment horizontal="right"/>
    </xf>
    <xf numFmtId="5" fontId="4" fillId="0" borderId="55" xfId="0" applyNumberFormat="1" applyFont="1" applyBorder="1" applyAlignment="1">
      <alignment horizontal="right"/>
    </xf>
    <xf numFmtId="5" fontId="4" fillId="0" borderId="58" xfId="0" applyNumberFormat="1" applyFont="1" applyBorder="1" applyAlignment="1">
      <alignment horizontal="right"/>
    </xf>
    <xf numFmtId="0" fontId="3" fillId="0" borderId="10" xfId="0" applyFont="1" applyBorder="1" applyAlignment="1">
      <alignment horizontal="center"/>
    </xf>
    <xf numFmtId="3" fontId="4" fillId="0" borderId="38" xfId="0" applyNumberFormat="1" applyFont="1" applyBorder="1" applyAlignment="1">
      <alignment horizontal="right"/>
    </xf>
    <xf numFmtId="0" fontId="3" fillId="0" borderId="57" xfId="0" applyFont="1" applyBorder="1" applyAlignment="1">
      <alignment horizontal="right"/>
    </xf>
    <xf numFmtId="0" fontId="3" fillId="0" borderId="54" xfId="0" applyFont="1" applyBorder="1" applyAlignment="1">
      <alignment horizontal="center"/>
    </xf>
    <xf numFmtId="0" fontId="3" fillId="0" borderId="55" xfId="0" applyFont="1" applyBorder="1" applyAlignment="1">
      <alignment horizontal="center"/>
    </xf>
    <xf numFmtId="0" fontId="4" fillId="0" borderId="56" xfId="0" applyFont="1" applyFill="1" applyBorder="1" applyAlignment="1">
      <alignment horizontal="right"/>
    </xf>
    <xf numFmtId="166" fontId="4" fillId="0" borderId="38" xfId="13" applyNumberFormat="1" applyFont="1" applyFill="1" applyBorder="1" applyAlignment="1">
      <alignment horizontal="right"/>
    </xf>
    <xf numFmtId="0" fontId="4" fillId="0" borderId="64" xfId="0" applyFont="1" applyFill="1" applyBorder="1" applyAlignment="1">
      <alignment horizontal="right"/>
    </xf>
    <xf numFmtId="166" fontId="3" fillId="0" borderId="56" xfId="0" applyNumberFormat="1" applyFont="1" applyFill="1" applyBorder="1" applyAlignment="1">
      <alignment horizontal="right"/>
    </xf>
    <xf numFmtId="3" fontId="3" fillId="0" borderId="56" xfId="0" applyNumberFormat="1" applyFont="1" applyBorder="1" applyAlignment="1">
      <alignment horizontal="right"/>
    </xf>
    <xf numFmtId="0" fontId="4" fillId="0" borderId="57" xfId="0" applyFont="1" applyBorder="1" applyAlignment="1">
      <alignment horizontal="right"/>
    </xf>
    <xf numFmtId="166" fontId="4" fillId="0" borderId="58" xfId="13" applyNumberFormat="1" applyFont="1" applyFill="1" applyBorder="1" applyAlignment="1">
      <alignment horizontal="right"/>
    </xf>
    <xf numFmtId="166" fontId="4" fillId="0" borderId="3" xfId="13" applyNumberFormat="1" applyFont="1" applyFill="1" applyBorder="1" applyAlignment="1">
      <alignment horizontal="right"/>
    </xf>
    <xf numFmtId="166" fontId="4" fillId="0" borderId="4" xfId="13" applyNumberFormat="1" applyFont="1" applyFill="1" applyBorder="1" applyAlignment="1">
      <alignment horizontal="right"/>
    </xf>
    <xf numFmtId="3" fontId="4" fillId="0" borderId="6" xfId="1" applyNumberFormat="1" applyFont="1" applyBorder="1" applyAlignment="1">
      <alignment horizontal="right"/>
    </xf>
    <xf numFmtId="3" fontId="4" fillId="0" borderId="56" xfId="1" applyNumberFormat="1" applyFont="1" applyBorder="1" applyAlignment="1">
      <alignment horizontal="right"/>
    </xf>
    <xf numFmtId="0" fontId="3" fillId="0" borderId="6" xfId="0" applyFont="1" applyFill="1" applyBorder="1" applyAlignment="1">
      <alignment horizontal="right"/>
    </xf>
    <xf numFmtId="166" fontId="4" fillId="0" borderId="6" xfId="0" applyNumberFormat="1" applyFont="1" applyBorder="1" applyAlignment="1">
      <alignment horizontal="right"/>
    </xf>
    <xf numFmtId="3" fontId="4" fillId="0" borderId="7" xfId="1" applyNumberFormat="1" applyFont="1" applyBorder="1" applyAlignment="1">
      <alignment horizontal="right"/>
    </xf>
    <xf numFmtId="3" fontId="4" fillId="0" borderId="56" xfId="1" applyNumberFormat="1" applyFont="1" applyFill="1" applyBorder="1" applyAlignment="1">
      <alignment horizontal="right"/>
    </xf>
    <xf numFmtId="0" fontId="4" fillId="0" borderId="7" xfId="0" applyFont="1" applyFill="1" applyBorder="1" applyAlignment="1">
      <alignment horizontal="right"/>
    </xf>
    <xf numFmtId="0" fontId="4" fillId="0" borderId="67" xfId="0" applyFont="1" applyBorder="1"/>
    <xf numFmtId="0" fontId="4" fillId="0" borderId="68" xfId="0" applyFont="1" applyBorder="1"/>
    <xf numFmtId="168" fontId="4" fillId="0" borderId="55" xfId="1" applyNumberFormat="1" applyFont="1" applyBorder="1"/>
    <xf numFmtId="168" fontId="4" fillId="0" borderId="38" xfId="1" applyNumberFormat="1" applyFont="1" applyBorder="1"/>
    <xf numFmtId="0" fontId="3" fillId="0" borderId="56" xfId="0" applyFont="1" applyBorder="1"/>
    <xf numFmtId="168" fontId="3" fillId="0" borderId="38" xfId="1" applyNumberFormat="1" applyFont="1" applyBorder="1"/>
    <xf numFmtId="0" fontId="4" fillId="0" borderId="64" xfId="0" applyFont="1" applyBorder="1"/>
    <xf numFmtId="0" fontId="4" fillId="0" borderId="59" xfId="0" applyFont="1" applyBorder="1"/>
    <xf numFmtId="0" fontId="4" fillId="0" borderId="60" xfId="0" applyFont="1" applyBorder="1"/>
    <xf numFmtId="168" fontId="4" fillId="0" borderId="25" xfId="1" applyNumberFormat="1" applyFont="1" applyBorder="1"/>
    <xf numFmtId="168" fontId="4" fillId="0" borderId="26" xfId="1" applyNumberFormat="1" applyFont="1" applyBorder="1"/>
    <xf numFmtId="168" fontId="3" fillId="0" borderId="26" xfId="1" applyNumberFormat="1" applyFont="1" applyBorder="1"/>
    <xf numFmtId="0" fontId="4" fillId="0" borderId="61" xfId="0" applyFont="1" applyBorder="1"/>
    <xf numFmtId="3" fontId="4" fillId="0" borderId="62" xfId="0" applyNumberFormat="1" applyFont="1" applyBorder="1" applyAlignment="1">
      <alignment horizontal="right"/>
    </xf>
    <xf numFmtId="3" fontId="3" fillId="0" borderId="58" xfId="0" applyNumberFormat="1" applyFont="1" applyBorder="1"/>
    <xf numFmtId="164" fontId="4" fillId="0" borderId="55" xfId="0" applyNumberFormat="1" applyFont="1" applyBorder="1" applyAlignment="1">
      <alignment horizontal="center"/>
    </xf>
    <xf numFmtId="169" fontId="4" fillId="0" borderId="26" xfId="0" applyNumberFormat="1" applyFont="1" applyBorder="1" applyAlignment="1">
      <alignment horizontal="right"/>
    </xf>
    <xf numFmtId="169" fontId="4" fillId="0" borderId="46" xfId="0" applyNumberFormat="1" applyFont="1" applyBorder="1" applyAlignment="1">
      <alignment horizontal="right"/>
    </xf>
    <xf numFmtId="169" fontId="4" fillId="0" borderId="56" xfId="0" applyNumberFormat="1" applyFont="1" applyBorder="1"/>
    <xf numFmtId="169" fontId="4" fillId="0" borderId="38" xfId="0" applyNumberFormat="1" applyFont="1" applyBorder="1" applyAlignment="1">
      <alignment horizontal="right"/>
    </xf>
    <xf numFmtId="169" fontId="4" fillId="0" borderId="64" xfId="0" applyNumberFormat="1" applyFont="1" applyBorder="1"/>
    <xf numFmtId="169" fontId="4" fillId="0" borderId="65" xfId="0" applyNumberFormat="1" applyFont="1" applyBorder="1" applyAlignment="1">
      <alignment horizontal="right"/>
    </xf>
    <xf numFmtId="0" fontId="3" fillId="0" borderId="47" xfId="0" applyFont="1" applyBorder="1" applyAlignment="1">
      <alignment horizontal="center"/>
    </xf>
    <xf numFmtId="166" fontId="4" fillId="0" borderId="3" xfId="13" applyNumberFormat="1" applyFont="1" applyBorder="1" applyAlignment="1">
      <alignment horizontal="right"/>
    </xf>
    <xf numFmtId="0" fontId="3" fillId="0" borderId="69" xfId="0" applyFont="1" applyBorder="1" applyAlignment="1">
      <alignment horizontal="centerContinuous"/>
    </xf>
    <xf numFmtId="0" fontId="3" fillId="0" borderId="61" xfId="0" applyFont="1" applyBorder="1" applyAlignment="1">
      <alignment horizontal="right"/>
    </xf>
    <xf numFmtId="0" fontId="3" fillId="0" borderId="59" xfId="0" applyFont="1" applyBorder="1" applyAlignment="1">
      <alignment horizontal="center"/>
    </xf>
    <xf numFmtId="0" fontId="3" fillId="0" borderId="60" xfId="0" applyFont="1" applyBorder="1" applyAlignment="1">
      <alignment horizontal="center"/>
    </xf>
    <xf numFmtId="166" fontId="4" fillId="0" borderId="38" xfId="13" applyNumberFormat="1" applyFont="1" applyBorder="1" applyAlignment="1">
      <alignment horizontal="right"/>
    </xf>
    <xf numFmtId="166" fontId="4" fillId="0" borderId="58" xfId="13" applyNumberFormat="1" applyFont="1" applyBorder="1" applyAlignment="1">
      <alignment horizontal="right"/>
    </xf>
    <xf numFmtId="3" fontId="3" fillId="0" borderId="62" xfId="0" applyNumberFormat="1" applyFont="1" applyBorder="1" applyAlignment="1">
      <alignment horizontal="right"/>
    </xf>
    <xf numFmtId="3" fontId="4" fillId="0" borderId="56" xfId="0" applyNumberFormat="1" applyFont="1" applyBorder="1" applyAlignment="1">
      <alignment horizontal="right"/>
    </xf>
    <xf numFmtId="3" fontId="4" fillId="0" borderId="57" xfId="0" applyNumberFormat="1" applyFont="1" applyBorder="1" applyAlignment="1">
      <alignment horizontal="right"/>
    </xf>
    <xf numFmtId="0" fontId="3" fillId="0" borderId="70" xfId="0" applyFont="1" applyFill="1" applyBorder="1" applyAlignment="1">
      <alignment horizontal="centerContinuous"/>
    </xf>
    <xf numFmtId="0" fontId="4" fillId="0" borderId="0" xfId="0" applyFont="1" applyFill="1"/>
    <xf numFmtId="0" fontId="0" fillId="0" borderId="0" xfId="0" applyFill="1"/>
    <xf numFmtId="0" fontId="3" fillId="0" borderId="71" xfId="0" applyFont="1" applyFill="1" applyBorder="1" applyAlignment="1">
      <alignment horizontal="center"/>
    </xf>
    <xf numFmtId="0" fontId="4" fillId="0" borderId="35" xfId="0" applyFont="1" applyFill="1" applyBorder="1"/>
    <xf numFmtId="0" fontId="4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center"/>
    </xf>
    <xf numFmtId="0" fontId="3" fillId="0" borderId="1" xfId="0" applyFont="1" applyFill="1" applyBorder="1"/>
    <xf numFmtId="3" fontId="3" fillId="0" borderId="1" xfId="0" applyNumberFormat="1" applyFont="1" applyFill="1" applyBorder="1"/>
    <xf numFmtId="0" fontId="4" fillId="0" borderId="0" xfId="0" applyFont="1" applyFill="1" applyBorder="1"/>
    <xf numFmtId="0" fontId="4" fillId="0" borderId="26" xfId="0" applyFont="1" applyFill="1" applyBorder="1"/>
    <xf numFmtId="164" fontId="4" fillId="0" borderId="0" xfId="0" applyNumberFormat="1" applyFont="1" applyFill="1" applyBorder="1" applyAlignment="1">
      <alignment horizontal="center"/>
    </xf>
    <xf numFmtId="164" fontId="4" fillId="0" borderId="72" xfId="0" applyNumberFormat="1" applyFont="1" applyFill="1" applyBorder="1" applyAlignment="1">
      <alignment horizontal="center"/>
    </xf>
    <xf numFmtId="164" fontId="4" fillId="0" borderId="0" xfId="0" applyNumberFormat="1" applyFont="1" applyFill="1" applyBorder="1"/>
    <xf numFmtId="0" fontId="4" fillId="0" borderId="73" xfId="0" applyFont="1" applyFill="1" applyBorder="1" applyAlignment="1">
      <alignment horizontal="center"/>
    </xf>
    <xf numFmtId="3" fontId="4" fillId="0" borderId="26" xfId="1" applyNumberFormat="1" applyFont="1" applyFill="1" applyBorder="1" applyAlignment="1">
      <alignment horizontal="right"/>
    </xf>
    <xf numFmtId="0" fontId="3" fillId="0" borderId="13" xfId="0" applyFont="1" applyFill="1" applyBorder="1" applyAlignment="1">
      <alignment horizontal="center"/>
    </xf>
    <xf numFmtId="2" fontId="3" fillId="0" borderId="13" xfId="0" applyNumberFormat="1" applyFont="1" applyFill="1" applyBorder="1" applyAlignment="1">
      <alignment horizontal="center"/>
    </xf>
    <xf numFmtId="2" fontId="3" fillId="0" borderId="37" xfId="0" applyNumberFormat="1" applyFont="1" applyFill="1" applyBorder="1" applyAlignment="1">
      <alignment horizontal="center"/>
    </xf>
    <xf numFmtId="2" fontId="4" fillId="0" borderId="9" xfId="0" applyNumberFormat="1" applyFont="1" applyFill="1" applyBorder="1"/>
    <xf numFmtId="2" fontId="4" fillId="0" borderId="35" xfId="0" applyNumberFormat="1" applyFont="1" applyFill="1" applyBorder="1"/>
    <xf numFmtId="2" fontId="4" fillId="0" borderId="39" xfId="0" applyNumberFormat="1" applyFont="1" applyFill="1" applyBorder="1" applyAlignment="1">
      <alignment horizontal="right"/>
    </xf>
    <xf numFmtId="2" fontId="3" fillId="0" borderId="39" xfId="0" applyNumberFormat="1" applyFont="1" applyFill="1" applyBorder="1" applyAlignment="1">
      <alignment horizontal="right"/>
    </xf>
    <xf numFmtId="2" fontId="3" fillId="0" borderId="40" xfId="0" applyNumberFormat="1" applyFont="1" applyFill="1" applyBorder="1" applyAlignment="1">
      <alignment horizontal="right"/>
    </xf>
    <xf numFmtId="2" fontId="4" fillId="0" borderId="6" xfId="0" applyNumberFormat="1" applyFont="1" applyFill="1" applyBorder="1" applyAlignment="1">
      <alignment horizontal="right"/>
    </xf>
    <xf numFmtId="2" fontId="3" fillId="0" borderId="6" xfId="0" applyNumberFormat="1" applyFont="1" applyFill="1" applyBorder="1" applyAlignment="1">
      <alignment horizontal="right"/>
    </xf>
    <xf numFmtId="2" fontId="3" fillId="0" borderId="7" xfId="0" applyNumberFormat="1" applyFont="1" applyFill="1" applyBorder="1" applyAlignment="1">
      <alignment horizontal="right"/>
    </xf>
    <xf numFmtId="0" fontId="4" fillId="0" borderId="18" xfId="0" applyFont="1" applyFill="1" applyBorder="1"/>
    <xf numFmtId="3" fontId="4" fillId="0" borderId="0" xfId="1" applyNumberFormat="1" applyFont="1" applyFill="1" applyBorder="1" applyAlignment="1">
      <alignment horizontal="center"/>
    </xf>
    <xf numFmtId="1" fontId="4" fillId="0" borderId="26" xfId="0" applyNumberFormat="1" applyFont="1" applyBorder="1"/>
    <xf numFmtId="1" fontId="4" fillId="0" borderId="46" xfId="0" applyNumberFormat="1" applyFont="1" applyBorder="1"/>
    <xf numFmtId="1" fontId="4" fillId="0" borderId="27" xfId="0" applyNumberFormat="1" applyFont="1" applyBorder="1"/>
    <xf numFmtId="0" fontId="3" fillId="0" borderId="16" xfId="0" applyFont="1" applyFill="1" applyBorder="1" applyAlignment="1">
      <alignment horizontal="centerContinuous"/>
    </xf>
    <xf numFmtId="0" fontId="3" fillId="0" borderId="18" xfId="0" applyFont="1" applyFill="1" applyBorder="1" applyAlignment="1">
      <alignment horizontal="center"/>
    </xf>
    <xf numFmtId="0" fontId="3" fillId="0" borderId="36" xfId="0" applyFont="1" applyFill="1" applyBorder="1" applyAlignment="1">
      <alignment horizontal="center"/>
    </xf>
    <xf numFmtId="0" fontId="4" fillId="0" borderId="21" xfId="0" applyFont="1" applyFill="1" applyBorder="1"/>
    <xf numFmtId="0" fontId="4" fillId="0" borderId="54" xfId="0" applyFont="1" applyFill="1" applyBorder="1"/>
    <xf numFmtId="0" fontId="4" fillId="0" borderId="56" xfId="0" applyFont="1" applyFill="1" applyBorder="1"/>
    <xf numFmtId="0" fontId="4" fillId="0" borderId="46" xfId="0" applyNumberFormat="1" applyFont="1" applyBorder="1"/>
    <xf numFmtId="0" fontId="4" fillId="0" borderId="48" xfId="0" applyFont="1" applyBorder="1" applyAlignment="1">
      <alignment horizontal="center"/>
    </xf>
    <xf numFmtId="0" fontId="3" fillId="0" borderId="56" xfId="0" applyFont="1" applyFill="1" applyBorder="1"/>
    <xf numFmtId="0" fontId="4" fillId="0" borderId="59" xfId="0" applyFont="1" applyFill="1" applyBorder="1"/>
    <xf numFmtId="169" fontId="4" fillId="0" borderId="56" xfId="0" applyNumberFormat="1" applyFont="1" applyFill="1" applyBorder="1"/>
    <xf numFmtId="164" fontId="4" fillId="0" borderId="61" xfId="0" applyNumberFormat="1" applyFont="1" applyFill="1" applyBorder="1"/>
    <xf numFmtId="164" fontId="4" fillId="0" borderId="63" xfId="0" applyNumberFormat="1" applyFont="1" applyFill="1" applyBorder="1" applyAlignment="1">
      <alignment horizontal="center"/>
    </xf>
    <xf numFmtId="164" fontId="4" fillId="0" borderId="59" xfId="0" applyNumberFormat="1" applyFont="1" applyFill="1" applyBorder="1"/>
    <xf numFmtId="164" fontId="4" fillId="0" borderId="63" xfId="0" applyNumberFormat="1" applyFont="1" applyFill="1" applyBorder="1"/>
    <xf numFmtId="164" fontId="4" fillId="0" borderId="54" xfId="0" applyNumberFormat="1" applyFont="1" applyFill="1" applyBorder="1"/>
    <xf numFmtId="164" fontId="4" fillId="0" borderId="57" xfId="0" applyNumberFormat="1" applyFont="1" applyFill="1" applyBorder="1"/>
    <xf numFmtId="3" fontId="4" fillId="0" borderId="46" xfId="0" applyNumberFormat="1" applyFont="1" applyBorder="1"/>
    <xf numFmtId="166" fontId="4" fillId="0" borderId="26" xfId="13" applyNumberFormat="1" applyFont="1" applyBorder="1" applyAlignment="1">
      <alignment horizontal="right"/>
    </xf>
    <xf numFmtId="166" fontId="4" fillId="0" borderId="4" xfId="13" applyNumberFormat="1" applyFont="1" applyBorder="1" applyAlignment="1">
      <alignment horizontal="right"/>
    </xf>
    <xf numFmtId="0" fontId="3" fillId="0" borderId="74" xfId="0" applyFont="1" applyFill="1" applyBorder="1" applyAlignment="1">
      <alignment horizontal="centerContinuous"/>
    </xf>
    <xf numFmtId="0" fontId="3" fillId="0" borderId="75" xfId="0" applyFont="1" applyFill="1" applyBorder="1" applyAlignment="1">
      <alignment horizontal="center"/>
    </xf>
    <xf numFmtId="166" fontId="4" fillId="0" borderId="18" xfId="0" applyNumberFormat="1" applyFont="1" applyFill="1" applyBorder="1" applyAlignment="1">
      <alignment horizontal="right"/>
    </xf>
    <xf numFmtId="1" fontId="4" fillId="0" borderId="18" xfId="0" applyNumberFormat="1" applyFont="1" applyFill="1" applyBorder="1" applyAlignment="1">
      <alignment horizontal="right"/>
    </xf>
    <xf numFmtId="0" fontId="4" fillId="0" borderId="23" xfId="0" applyFont="1" applyFill="1" applyBorder="1"/>
    <xf numFmtId="0" fontId="4" fillId="0" borderId="8" xfId="0" applyFont="1" applyFill="1" applyBorder="1"/>
    <xf numFmtId="3" fontId="4" fillId="0" borderId="6" xfId="0" applyNumberFormat="1" applyFont="1" applyBorder="1" applyAlignment="1">
      <alignment horizontal="center"/>
    </xf>
    <xf numFmtId="0" fontId="3" fillId="0" borderId="57" xfId="0" applyFont="1" applyFill="1" applyBorder="1"/>
    <xf numFmtId="0" fontId="15" fillId="0" borderId="0" xfId="0" applyFont="1" applyFill="1" applyBorder="1" applyAlignment="1">
      <alignment horizontal="left"/>
    </xf>
    <xf numFmtId="0" fontId="4" fillId="0" borderId="45" xfId="0" applyFont="1" applyBorder="1" applyAlignment="1">
      <alignment horizontal="right"/>
    </xf>
    <xf numFmtId="166" fontId="3" fillId="0" borderId="3" xfId="13" applyNumberFormat="1" applyFont="1" applyFill="1" applyBorder="1" applyAlignment="1">
      <alignment horizontal="right"/>
    </xf>
    <xf numFmtId="5" fontId="4" fillId="0" borderId="25" xfId="0" applyNumberFormat="1" applyFont="1" applyBorder="1" applyAlignment="1">
      <alignment horizontal="right"/>
    </xf>
    <xf numFmtId="0" fontId="3" fillId="0" borderId="76" xfId="0" applyFont="1" applyBorder="1" applyAlignment="1">
      <alignment horizontal="center"/>
    </xf>
    <xf numFmtId="0" fontId="3" fillId="0" borderId="57" xfId="0" applyFont="1" applyFill="1" applyBorder="1" applyAlignment="1">
      <alignment horizontal="right"/>
    </xf>
    <xf numFmtId="0" fontId="3" fillId="0" borderId="21" xfId="0" applyFont="1" applyFill="1" applyBorder="1" applyAlignment="1">
      <alignment horizontal="center"/>
    </xf>
    <xf numFmtId="0" fontId="3" fillId="0" borderId="18" xfId="0" applyFont="1" applyFill="1" applyBorder="1" applyAlignment="1">
      <alignment horizontal="right"/>
    </xf>
    <xf numFmtId="3" fontId="4" fillId="0" borderId="56" xfId="0" applyNumberFormat="1" applyFont="1" applyFill="1" applyBorder="1"/>
    <xf numFmtId="3" fontId="4" fillId="0" borderId="54" xfId="0" applyNumberFormat="1" applyFont="1" applyFill="1" applyBorder="1"/>
    <xf numFmtId="3" fontId="3" fillId="0" borderId="56" xfId="0" applyNumberFormat="1" applyFont="1" applyFill="1" applyBorder="1"/>
    <xf numFmtId="3" fontId="4" fillId="0" borderId="59" xfId="0" applyNumberFormat="1" applyFont="1" applyFill="1" applyBorder="1"/>
    <xf numFmtId="0" fontId="4" fillId="0" borderId="61" xfId="0" applyFont="1" applyFill="1" applyBorder="1"/>
    <xf numFmtId="0" fontId="3" fillId="0" borderId="77" xfId="0" applyFont="1" applyFill="1" applyBorder="1" applyAlignment="1">
      <alignment horizontal="center"/>
    </xf>
    <xf numFmtId="0" fontId="4" fillId="0" borderId="75" xfId="0" applyFont="1" applyFill="1" applyBorder="1"/>
    <xf numFmtId="0" fontId="4" fillId="0" borderId="18" xfId="0" applyFont="1" applyFill="1" applyBorder="1" applyAlignment="1">
      <alignment horizontal="right"/>
    </xf>
    <xf numFmtId="3" fontId="4" fillId="0" borderId="21" xfId="1" applyNumberFormat="1" applyFont="1" applyFill="1" applyBorder="1"/>
    <xf numFmtId="0" fontId="4" fillId="0" borderId="23" xfId="0" applyFont="1" applyFill="1" applyBorder="1" applyAlignment="1">
      <alignment horizontal="right"/>
    </xf>
    <xf numFmtId="169" fontId="4" fillId="0" borderId="27" xfId="0" applyNumberFormat="1" applyFont="1" applyBorder="1" applyAlignment="1">
      <alignment horizontal="right"/>
    </xf>
    <xf numFmtId="0" fontId="4" fillId="0" borderId="78" xfId="0" applyFont="1" applyBorder="1"/>
    <xf numFmtId="3" fontId="4" fillId="0" borderId="54" xfId="1" applyNumberFormat="1" applyFont="1" applyFill="1" applyBorder="1"/>
    <xf numFmtId="3" fontId="3" fillId="0" borderId="57" xfId="0" applyNumberFormat="1" applyFont="1" applyFill="1" applyBorder="1"/>
    <xf numFmtId="0" fontId="3" fillId="0" borderId="79" xfId="0" applyFont="1" applyFill="1" applyBorder="1" applyAlignment="1">
      <alignment horizontal="centerContinuous"/>
    </xf>
    <xf numFmtId="0" fontId="3" fillId="0" borderId="56" xfId="0" applyFont="1" applyFill="1" applyBorder="1" applyAlignment="1">
      <alignment horizontal="center"/>
    </xf>
    <xf numFmtId="0" fontId="3" fillId="0" borderId="64" xfId="0" applyFont="1" applyFill="1" applyBorder="1" applyAlignment="1">
      <alignment horizontal="center"/>
    </xf>
    <xf numFmtId="0" fontId="4" fillId="0" borderId="80" xfId="0" applyFont="1" applyFill="1" applyBorder="1"/>
    <xf numFmtId="164" fontId="4" fillId="0" borderId="28" xfId="4" applyNumberFormat="1" applyFont="1" applyBorder="1" applyAlignment="1">
      <alignment horizontal="right"/>
    </xf>
    <xf numFmtId="0" fontId="4" fillId="0" borderId="8" xfId="0" applyFont="1" applyFill="1" applyBorder="1" applyAlignment="1">
      <alignment horizontal="right"/>
    </xf>
    <xf numFmtId="0" fontId="4" fillId="0" borderId="8" xfId="0" applyFont="1" applyFill="1" applyBorder="1" applyAlignment="1">
      <alignment horizontal="center"/>
    </xf>
    <xf numFmtId="164" fontId="4" fillId="0" borderId="38" xfId="4" applyNumberFormat="1" applyFont="1" applyBorder="1" applyAlignment="1">
      <alignment horizontal="right"/>
    </xf>
    <xf numFmtId="164" fontId="4" fillId="0" borderId="62" xfId="4" applyNumberFormat="1" applyFont="1" applyFill="1" applyBorder="1" applyAlignment="1">
      <alignment horizontal="right"/>
    </xf>
    <xf numFmtId="0" fontId="5" fillId="0" borderId="11" xfId="0" applyFont="1" applyBorder="1" applyAlignment="1">
      <alignment horizontal="left"/>
    </xf>
    <xf numFmtId="3" fontId="3" fillId="0" borderId="27" xfId="1" applyNumberFormat="1" applyFont="1" applyBorder="1"/>
    <xf numFmtId="3" fontId="4" fillId="0" borderId="26" xfId="1" applyNumberFormat="1" applyFont="1" applyBorder="1" applyAlignment="1"/>
    <xf numFmtId="3" fontId="3" fillId="0" borderId="27" xfId="1" applyNumberFormat="1" applyFont="1" applyBorder="1" applyAlignment="1"/>
    <xf numFmtId="164" fontId="4" fillId="0" borderId="59" xfId="0" applyNumberFormat="1" applyFont="1" applyFill="1" applyBorder="1" applyAlignment="1">
      <alignment horizontal="center"/>
    </xf>
    <xf numFmtId="3" fontId="4" fillId="0" borderId="18" xfId="1" applyNumberFormat="1" applyFont="1" applyFill="1" applyBorder="1" applyAlignment="1">
      <alignment horizontal="right"/>
    </xf>
    <xf numFmtId="3" fontId="4" fillId="0" borderId="23" xfId="1" applyNumberFormat="1" applyFont="1" applyFill="1" applyBorder="1" applyAlignment="1">
      <alignment horizontal="right"/>
    </xf>
    <xf numFmtId="1" fontId="4" fillId="0" borderId="23" xfId="0" applyNumberFormat="1" applyFont="1" applyFill="1" applyBorder="1" applyAlignment="1">
      <alignment horizontal="right"/>
    </xf>
    <xf numFmtId="164" fontId="4" fillId="0" borderId="26" xfId="4" applyNumberFormat="1" applyFont="1" applyFill="1" applyBorder="1" applyAlignment="1">
      <alignment horizontal="right"/>
    </xf>
    <xf numFmtId="164" fontId="4" fillId="0" borderId="27" xfId="4" applyNumberFormat="1" applyFont="1" applyFill="1" applyBorder="1" applyAlignment="1">
      <alignment horizontal="right"/>
    </xf>
    <xf numFmtId="3" fontId="4" fillId="0" borderId="18" xfId="0" applyNumberFormat="1" applyFont="1" applyFill="1" applyBorder="1"/>
    <xf numFmtId="0" fontId="4" fillId="0" borderId="6" xfId="0" applyFont="1" applyFill="1" applyBorder="1"/>
    <xf numFmtId="0" fontId="3" fillId="0" borderId="5" xfId="0" applyFont="1" applyFill="1" applyBorder="1" applyAlignment="1">
      <alignment horizontal="centerContinuous"/>
    </xf>
    <xf numFmtId="0" fontId="3" fillId="0" borderId="6" xfId="0" applyFont="1" applyFill="1" applyBorder="1" applyAlignment="1">
      <alignment horizontal="center"/>
    </xf>
    <xf numFmtId="0" fontId="3" fillId="0" borderId="41" xfId="0" applyFont="1" applyFill="1" applyBorder="1" applyAlignment="1">
      <alignment horizontal="center"/>
    </xf>
    <xf numFmtId="0" fontId="4" fillId="0" borderId="43" xfId="0" applyFont="1" applyFill="1" applyBorder="1"/>
    <xf numFmtId="0" fontId="4" fillId="0" borderId="7" xfId="0" applyFont="1" applyFill="1" applyBorder="1"/>
    <xf numFmtId="0" fontId="3" fillId="0" borderId="17" xfId="0" applyFont="1" applyFill="1" applyBorder="1" applyAlignment="1">
      <alignment horizontal="centerContinuous"/>
    </xf>
    <xf numFmtId="0" fontId="3" fillId="0" borderId="19" xfId="0" applyFont="1" applyFill="1" applyBorder="1" applyAlignment="1">
      <alignment horizontal="center"/>
    </xf>
    <xf numFmtId="0" fontId="3" fillId="0" borderId="42" xfId="0" applyFont="1" applyFill="1" applyBorder="1" applyAlignment="1">
      <alignment horizontal="center"/>
    </xf>
    <xf numFmtId="0" fontId="4" fillId="0" borderId="44" xfId="0" applyFont="1" applyFill="1" applyBorder="1"/>
    <xf numFmtId="0" fontId="4" fillId="0" borderId="22" xfId="0" applyFont="1" applyFill="1" applyBorder="1"/>
    <xf numFmtId="0" fontId="4" fillId="0" borderId="24" xfId="0" applyFont="1" applyFill="1" applyBorder="1"/>
    <xf numFmtId="0" fontId="4" fillId="0" borderId="25" xfId="0" applyFont="1" applyFill="1" applyBorder="1"/>
    <xf numFmtId="0" fontId="3" fillId="0" borderId="28" xfId="0" applyFont="1" applyFill="1" applyBorder="1"/>
    <xf numFmtId="0" fontId="4" fillId="0" borderId="55" xfId="0" applyFont="1" applyFill="1" applyBorder="1"/>
    <xf numFmtId="0" fontId="4" fillId="0" borderId="38" xfId="0" applyFont="1" applyFill="1" applyBorder="1"/>
    <xf numFmtId="3" fontId="4" fillId="0" borderId="38" xfId="1" applyNumberFormat="1" applyFont="1" applyFill="1" applyBorder="1" applyAlignment="1"/>
    <xf numFmtId="3" fontId="4" fillId="0" borderId="38" xfId="0" applyNumberFormat="1" applyFont="1" applyFill="1" applyBorder="1"/>
    <xf numFmtId="3" fontId="3" fillId="0" borderId="58" xfId="1" applyNumberFormat="1" applyFont="1" applyFill="1" applyBorder="1" applyAlignment="1"/>
    <xf numFmtId="0" fontId="3" fillId="0" borderId="26" xfId="0" applyFont="1" applyFill="1" applyBorder="1"/>
    <xf numFmtId="0" fontId="4" fillId="0" borderId="48" xfId="0" applyFont="1" applyFill="1" applyBorder="1"/>
    <xf numFmtId="164" fontId="4" fillId="0" borderId="27" xfId="0" applyNumberFormat="1" applyFont="1" applyFill="1" applyBorder="1"/>
    <xf numFmtId="164" fontId="4" fillId="0" borderId="48" xfId="0" applyNumberFormat="1" applyFont="1" applyFill="1" applyBorder="1"/>
    <xf numFmtId="164" fontId="4" fillId="0" borderId="25" xfId="0" applyNumberFormat="1" applyFont="1" applyFill="1" applyBorder="1"/>
    <xf numFmtId="164" fontId="4" fillId="0" borderId="28" xfId="0" applyNumberFormat="1" applyFont="1" applyFill="1" applyBorder="1"/>
    <xf numFmtId="168" fontId="4" fillId="0" borderId="55" xfId="1" applyNumberFormat="1" applyFont="1" applyFill="1" applyBorder="1"/>
    <xf numFmtId="168" fontId="4" fillId="0" borderId="38" xfId="1" applyNumberFormat="1" applyFont="1" applyFill="1" applyBorder="1"/>
    <xf numFmtId="168" fontId="3" fillId="0" borderId="38" xfId="1" applyNumberFormat="1" applyFont="1" applyFill="1" applyBorder="1"/>
    <xf numFmtId="0" fontId="4" fillId="0" borderId="60" xfId="0" applyFont="1" applyFill="1" applyBorder="1"/>
    <xf numFmtId="164" fontId="4" fillId="0" borderId="60" xfId="0" applyNumberFormat="1" applyFont="1" applyFill="1" applyBorder="1" applyAlignment="1">
      <alignment horizontal="center"/>
    </xf>
    <xf numFmtId="0" fontId="4" fillId="0" borderId="60" xfId="0" applyFont="1" applyFill="1" applyBorder="1" applyAlignment="1">
      <alignment horizontal="center"/>
    </xf>
    <xf numFmtId="0" fontId="4" fillId="0" borderId="66" xfId="0" applyFont="1" applyFill="1" applyBorder="1" applyAlignment="1">
      <alignment horizontal="center"/>
    </xf>
    <xf numFmtId="0" fontId="3" fillId="0" borderId="28" xfId="0" applyFont="1" applyFill="1" applyBorder="1" applyAlignment="1">
      <alignment horizontal="right"/>
    </xf>
    <xf numFmtId="0" fontId="3" fillId="0" borderId="9" xfId="0" applyFont="1" applyFill="1" applyBorder="1" applyAlignment="1">
      <alignment horizontal="center"/>
    </xf>
    <xf numFmtId="3" fontId="4" fillId="0" borderId="6" xfId="1" applyNumberFormat="1" applyFont="1" applyFill="1" applyBorder="1" applyAlignment="1">
      <alignment horizontal="right"/>
    </xf>
    <xf numFmtId="166" fontId="4" fillId="0" borderId="6" xfId="0" applyNumberFormat="1" applyFont="1" applyFill="1" applyBorder="1" applyAlignment="1">
      <alignment horizontal="right"/>
    </xf>
    <xf numFmtId="3" fontId="4" fillId="0" borderId="7" xfId="1" applyNumberFormat="1" applyFont="1" applyFill="1" applyBorder="1" applyAlignment="1">
      <alignment horizontal="right"/>
    </xf>
    <xf numFmtId="3" fontId="4" fillId="0" borderId="38" xfId="1" applyNumberFormat="1" applyFont="1" applyFill="1" applyBorder="1" applyAlignment="1">
      <alignment horizontal="right"/>
    </xf>
    <xf numFmtId="3" fontId="3" fillId="0" borderId="58" xfId="0" applyNumberFormat="1" applyFont="1" applyFill="1" applyBorder="1" applyAlignment="1">
      <alignment horizontal="right"/>
    </xf>
    <xf numFmtId="0" fontId="3" fillId="0" borderId="22" xfId="0" applyFont="1" applyFill="1" applyBorder="1" applyAlignment="1">
      <alignment horizontal="center"/>
    </xf>
    <xf numFmtId="166" fontId="4" fillId="0" borderId="19" xfId="13" applyNumberFormat="1" applyFont="1" applyFill="1" applyBorder="1" applyAlignment="1">
      <alignment horizontal="right"/>
    </xf>
    <xf numFmtId="166" fontId="3" fillId="0" borderId="19" xfId="13" applyNumberFormat="1" applyFont="1" applyFill="1" applyBorder="1" applyAlignment="1">
      <alignment horizontal="right"/>
    </xf>
    <xf numFmtId="166" fontId="4" fillId="0" borderId="19" xfId="13" applyNumberFormat="1" applyFont="1" applyBorder="1" applyAlignment="1">
      <alignment horizontal="right"/>
    </xf>
    <xf numFmtId="166" fontId="4" fillId="0" borderId="24" xfId="13" applyNumberFormat="1" applyFont="1" applyBorder="1" applyAlignment="1">
      <alignment horizontal="right"/>
    </xf>
    <xf numFmtId="0" fontId="3" fillId="0" borderId="20" xfId="0" applyFont="1" applyFill="1" applyBorder="1" applyAlignment="1">
      <alignment horizontal="center"/>
    </xf>
    <xf numFmtId="0" fontId="4" fillId="0" borderId="19" xfId="0" applyFont="1" applyFill="1" applyBorder="1"/>
    <xf numFmtId="0" fontId="3" fillId="0" borderId="27" xfId="0" applyFont="1" applyFill="1" applyBorder="1"/>
    <xf numFmtId="3" fontId="4" fillId="0" borderId="55" xfId="1" applyNumberFormat="1" applyFont="1" applyFill="1" applyBorder="1"/>
    <xf numFmtId="3" fontId="3" fillId="0" borderId="58" xfId="1" applyNumberFormat="1" applyFont="1" applyFill="1" applyBorder="1"/>
    <xf numFmtId="0" fontId="4" fillId="0" borderId="27" xfId="0" applyFont="1" applyFill="1" applyBorder="1"/>
    <xf numFmtId="164" fontId="4" fillId="0" borderId="55" xfId="0" applyNumberFormat="1" applyFont="1" applyFill="1" applyBorder="1" applyAlignment="1">
      <alignment horizontal="center"/>
    </xf>
    <xf numFmtId="0" fontId="4" fillId="0" borderId="24" xfId="0" applyFont="1" applyFill="1" applyBorder="1" applyAlignment="1">
      <alignment horizontal="center"/>
    </xf>
    <xf numFmtId="3" fontId="4" fillId="0" borderId="25" xfId="1" applyNumberFormat="1" applyFont="1" applyFill="1" applyBorder="1"/>
    <xf numFmtId="3" fontId="3" fillId="0" borderId="28" xfId="0" applyNumberFormat="1" applyFont="1" applyFill="1" applyBorder="1"/>
    <xf numFmtId="3" fontId="3" fillId="0" borderId="58" xfId="0" applyNumberFormat="1" applyFont="1" applyFill="1" applyBorder="1"/>
    <xf numFmtId="0" fontId="3" fillId="0" borderId="26" xfId="0" applyFont="1" applyFill="1" applyBorder="1" applyAlignment="1">
      <alignment horizontal="center"/>
    </xf>
    <xf numFmtId="0" fontId="3" fillId="0" borderId="46" xfId="0" applyFont="1" applyFill="1" applyBorder="1" applyAlignment="1">
      <alignment horizontal="center"/>
    </xf>
    <xf numFmtId="0" fontId="4" fillId="0" borderId="68" xfId="0" applyFont="1" applyFill="1" applyBorder="1"/>
    <xf numFmtId="0" fontId="4" fillId="0" borderId="6" xfId="0" applyFont="1" applyFill="1" applyBorder="1" applyAlignment="1">
      <alignment horizontal="right"/>
    </xf>
    <xf numFmtId="3" fontId="4" fillId="0" borderId="9" xfId="1" applyNumberFormat="1" applyFont="1" applyFill="1" applyBorder="1"/>
    <xf numFmtId="0" fontId="3" fillId="0" borderId="58" xfId="0" applyFont="1" applyFill="1" applyBorder="1"/>
    <xf numFmtId="3" fontId="4" fillId="0" borderId="48" xfId="0" applyNumberFormat="1" applyFont="1" applyFill="1" applyBorder="1"/>
    <xf numFmtId="3" fontId="4" fillId="0" borderId="60" xfId="0" applyNumberFormat="1" applyFont="1" applyFill="1" applyBorder="1"/>
    <xf numFmtId="166" fontId="4" fillId="0" borderId="24" xfId="13" applyNumberFormat="1" applyFont="1" applyFill="1" applyBorder="1" applyAlignment="1">
      <alignment horizontal="right"/>
    </xf>
    <xf numFmtId="3" fontId="4" fillId="0" borderId="6" xfId="0" applyNumberFormat="1" applyFont="1" applyFill="1" applyBorder="1"/>
    <xf numFmtId="169" fontId="4" fillId="0" borderId="26" xfId="0" applyNumberFormat="1" applyFont="1" applyFill="1" applyBorder="1"/>
    <xf numFmtId="164" fontId="4" fillId="0" borderId="48" xfId="0" applyNumberFormat="1" applyFont="1" applyFill="1" applyBorder="1" applyAlignment="1">
      <alignment horizontal="center"/>
    </xf>
    <xf numFmtId="164" fontId="4" fillId="0" borderId="27" xfId="0" applyNumberFormat="1" applyFont="1" applyFill="1" applyBorder="1" applyAlignment="1">
      <alignment horizontal="center"/>
    </xf>
    <xf numFmtId="0" fontId="3" fillId="0" borderId="43" xfId="0" applyFont="1" applyFill="1" applyBorder="1" applyAlignment="1">
      <alignment horizontal="center"/>
    </xf>
    <xf numFmtId="1" fontId="4" fillId="0" borderId="6" xfId="0" applyNumberFormat="1" applyFont="1" applyFill="1" applyBorder="1" applyAlignment="1">
      <alignment horizontal="right"/>
    </xf>
    <xf numFmtId="1" fontId="4" fillId="0" borderId="7" xfId="0" applyNumberFormat="1" applyFont="1" applyFill="1" applyBorder="1" applyAlignment="1">
      <alignment horizontal="right"/>
    </xf>
    <xf numFmtId="3" fontId="4" fillId="0" borderId="19" xfId="1" applyNumberFormat="1" applyFont="1" applyFill="1" applyBorder="1" applyAlignment="1">
      <alignment horizontal="right"/>
    </xf>
    <xf numFmtId="164" fontId="4" fillId="0" borderId="62" xfId="0" applyNumberFormat="1" applyFont="1" applyFill="1" applyBorder="1" applyAlignment="1">
      <alignment horizontal="center"/>
    </xf>
    <xf numFmtId="0" fontId="3" fillId="0" borderId="52" xfId="0" applyFont="1" applyFill="1" applyBorder="1" applyAlignment="1">
      <alignment horizontal="centerContinuous"/>
    </xf>
    <xf numFmtId="3" fontId="4" fillId="0" borderId="65" xfId="0" applyNumberFormat="1" applyFont="1" applyFill="1" applyBorder="1"/>
    <xf numFmtId="3" fontId="3" fillId="0" borderId="62" xfId="0" applyNumberFormat="1" applyFont="1" applyFill="1" applyBorder="1" applyAlignment="1">
      <alignment horizontal="right"/>
    </xf>
    <xf numFmtId="0" fontId="3" fillId="0" borderId="60" xfId="0" applyFont="1" applyFill="1" applyBorder="1" applyAlignment="1">
      <alignment horizontal="center"/>
    </xf>
    <xf numFmtId="169" fontId="4" fillId="0" borderId="38" xfId="1" applyNumberFormat="1" applyFont="1" applyFill="1" applyBorder="1" applyAlignment="1">
      <alignment horizontal="right"/>
    </xf>
    <xf numFmtId="169" fontId="4" fillId="0" borderId="26" xfId="1" applyNumberFormat="1" applyFont="1" applyFill="1" applyBorder="1" applyAlignment="1">
      <alignment horizontal="right"/>
    </xf>
    <xf numFmtId="0" fontId="4" fillId="0" borderId="22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right"/>
    </xf>
    <xf numFmtId="0" fontId="3" fillId="0" borderId="3" xfId="0" applyFont="1" applyFill="1" applyBorder="1" applyAlignment="1">
      <alignment horizontal="center"/>
    </xf>
    <xf numFmtId="0" fontId="3" fillId="0" borderId="76" xfId="0" applyFont="1" applyFill="1" applyBorder="1" applyAlignment="1">
      <alignment horizontal="center"/>
    </xf>
    <xf numFmtId="0" fontId="4" fillId="0" borderId="47" xfId="0" applyFont="1" applyFill="1" applyBorder="1"/>
    <xf numFmtId="0" fontId="4" fillId="0" borderId="10" xfId="0" applyFont="1" applyFill="1" applyBorder="1"/>
    <xf numFmtId="0" fontId="4" fillId="0" borderId="10" xfId="0" applyFont="1" applyFill="1" applyBorder="1" applyAlignment="1">
      <alignment horizontal="center"/>
    </xf>
    <xf numFmtId="0" fontId="4" fillId="0" borderId="46" xfId="0" applyNumberFormat="1" applyFont="1" applyFill="1" applyBorder="1"/>
    <xf numFmtId="0" fontId="4" fillId="0" borderId="48" xfId="0" applyFont="1" applyFill="1" applyBorder="1" applyAlignment="1">
      <alignment horizontal="center"/>
    </xf>
    <xf numFmtId="3" fontId="3" fillId="0" borderId="28" xfId="0" applyNumberFormat="1" applyFont="1" applyFill="1" applyBorder="1" applyAlignment="1">
      <alignment horizontal="right"/>
    </xf>
    <xf numFmtId="0" fontId="3" fillId="0" borderId="10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0" xfId="0" applyFont="1" applyFill="1" applyBorder="1"/>
    <xf numFmtId="3" fontId="3" fillId="0" borderId="0" xfId="0" applyNumberFormat="1" applyFont="1" applyFill="1" applyBorder="1"/>
    <xf numFmtId="168" fontId="4" fillId="0" borderId="25" xfId="1" applyNumberFormat="1" applyFont="1" applyFill="1" applyBorder="1"/>
    <xf numFmtId="168" fontId="4" fillId="0" borderId="26" xfId="1" applyNumberFormat="1" applyFont="1" applyFill="1" applyBorder="1"/>
    <xf numFmtId="168" fontId="3" fillId="0" borderId="26" xfId="1" applyNumberFormat="1" applyFont="1" applyFill="1" applyBorder="1"/>
    <xf numFmtId="0" fontId="4" fillId="0" borderId="78" xfId="0" applyFont="1" applyFill="1" applyBorder="1"/>
    <xf numFmtId="0" fontId="3" fillId="0" borderId="2" xfId="0" applyFont="1" applyFill="1" applyBorder="1" applyAlignment="1">
      <alignment horizontal="centerContinuous"/>
    </xf>
    <xf numFmtId="3" fontId="3" fillId="0" borderId="27" xfId="1" applyNumberFormat="1" applyFont="1" applyFill="1" applyBorder="1"/>
    <xf numFmtId="164" fontId="4" fillId="0" borderId="25" xfId="0" applyNumberFormat="1" applyFont="1" applyFill="1" applyBorder="1" applyAlignment="1">
      <alignment horizontal="center"/>
    </xf>
    <xf numFmtId="0" fontId="4" fillId="0" borderId="4" xfId="0" applyFont="1" applyFill="1" applyBorder="1"/>
    <xf numFmtId="3" fontId="4" fillId="0" borderId="26" xfId="1" applyNumberFormat="1" applyFont="1" applyFill="1" applyBorder="1" applyAlignment="1"/>
    <xf numFmtId="3" fontId="3" fillId="0" borderId="28" xfId="1" applyNumberFormat="1" applyFont="1" applyFill="1" applyBorder="1" applyAlignment="1"/>
    <xf numFmtId="3" fontId="4" fillId="0" borderId="46" xfId="0" applyNumberFormat="1" applyFont="1" applyFill="1" applyBorder="1"/>
    <xf numFmtId="3" fontId="3" fillId="0" borderId="27" xfId="0" applyNumberFormat="1" applyFont="1" applyFill="1" applyBorder="1" applyAlignment="1">
      <alignment horizontal="right"/>
    </xf>
    <xf numFmtId="0" fontId="3" fillId="0" borderId="48" xfId="0" applyFont="1" applyFill="1" applyBorder="1" applyAlignment="1">
      <alignment horizontal="center"/>
    </xf>
    <xf numFmtId="3" fontId="4" fillId="0" borderId="3" xfId="1" applyNumberFormat="1" applyFont="1" applyFill="1" applyBorder="1" applyAlignment="1">
      <alignment horizontal="right"/>
    </xf>
    <xf numFmtId="3" fontId="4" fillId="0" borderId="3" xfId="1" applyNumberFormat="1" applyFont="1" applyFill="1" applyBorder="1" applyAlignment="1">
      <alignment horizontal="center"/>
    </xf>
    <xf numFmtId="3" fontId="4" fillId="0" borderId="4" xfId="1" applyNumberFormat="1" applyFont="1" applyFill="1" applyBorder="1" applyAlignment="1">
      <alignment horizontal="right"/>
    </xf>
    <xf numFmtId="1" fontId="4" fillId="0" borderId="46" xfId="0" applyNumberFormat="1" applyFont="1" applyFill="1" applyBorder="1" applyAlignment="1">
      <alignment horizontal="center"/>
    </xf>
    <xf numFmtId="0" fontId="4" fillId="0" borderId="61" xfId="0" applyNumberFormat="1" applyFont="1" applyFill="1" applyBorder="1" applyAlignment="1">
      <alignment horizontal="center"/>
    </xf>
    <xf numFmtId="169" fontId="4" fillId="0" borderId="38" xfId="0" applyNumberFormat="1" applyFont="1" applyFill="1" applyBorder="1"/>
    <xf numFmtId="169" fontId="4" fillId="0" borderId="65" xfId="0" applyNumberFormat="1" applyFont="1" applyFill="1" applyBorder="1"/>
    <xf numFmtId="169" fontId="4" fillId="0" borderId="62" xfId="0" applyNumberFormat="1" applyFont="1" applyFill="1" applyBorder="1" applyAlignment="1">
      <alignment horizontal="right"/>
    </xf>
    <xf numFmtId="1" fontId="4" fillId="0" borderId="27" xfId="0" applyNumberFormat="1" applyFont="1" applyFill="1" applyBorder="1"/>
    <xf numFmtId="169" fontId="4" fillId="0" borderId="27" xfId="0" applyNumberFormat="1" applyFont="1" applyFill="1" applyBorder="1" applyAlignment="1">
      <alignment horizontal="right"/>
    </xf>
    <xf numFmtId="169" fontId="4" fillId="0" borderId="26" xfId="0" applyNumberFormat="1" applyFont="1" applyFill="1" applyBorder="1" applyAlignment="1">
      <alignment horizontal="right"/>
    </xf>
    <xf numFmtId="169" fontId="4" fillId="0" borderId="46" xfId="0" applyNumberFormat="1" applyFont="1" applyFill="1" applyBorder="1" applyAlignment="1">
      <alignment horizontal="right"/>
    </xf>
    <xf numFmtId="169" fontId="4" fillId="0" borderId="38" xfId="0" applyNumberFormat="1" applyFont="1" applyFill="1" applyBorder="1" applyAlignment="1">
      <alignment horizontal="right"/>
    </xf>
    <xf numFmtId="169" fontId="4" fillId="0" borderId="65" xfId="0" applyNumberFormat="1" applyFont="1" applyFill="1" applyBorder="1" applyAlignment="1">
      <alignment horizontal="right"/>
    </xf>
    <xf numFmtId="5" fontId="4" fillId="0" borderId="25" xfId="0" applyNumberFormat="1" applyFont="1" applyBorder="1" applyAlignment="1"/>
    <xf numFmtId="169" fontId="4" fillId="0" borderId="38" xfId="0" applyNumberFormat="1" applyFont="1" applyBorder="1"/>
    <xf numFmtId="0" fontId="4" fillId="0" borderId="65" xfId="0" applyNumberFormat="1" applyFont="1" applyBorder="1"/>
    <xf numFmtId="169" fontId="4" fillId="0" borderId="62" xfId="0" applyNumberFormat="1" applyFont="1" applyBorder="1" applyAlignment="1">
      <alignment horizontal="right"/>
    </xf>
    <xf numFmtId="1" fontId="4" fillId="0" borderId="26" xfId="0" applyNumberFormat="1" applyFont="1" applyFill="1" applyBorder="1"/>
    <xf numFmtId="1" fontId="4" fillId="0" borderId="46" xfId="0" applyNumberFormat="1" applyFont="1" applyFill="1" applyBorder="1"/>
    <xf numFmtId="173" fontId="4" fillId="0" borderId="62" xfId="0" applyNumberFormat="1" applyFont="1" applyFill="1" applyBorder="1" applyAlignment="1">
      <alignment horizontal="right"/>
    </xf>
    <xf numFmtId="42" fontId="4" fillId="0" borderId="38" xfId="0" applyNumberFormat="1" applyFont="1" applyBorder="1" applyAlignment="1">
      <alignment horizontal="right"/>
    </xf>
    <xf numFmtId="164" fontId="4" fillId="0" borderId="59" xfId="0" applyNumberFormat="1" applyFont="1" applyBorder="1" applyAlignment="1">
      <alignment horizontal="center"/>
    </xf>
    <xf numFmtId="1" fontId="4" fillId="0" borderId="54" xfId="0" applyNumberFormat="1" applyFont="1" applyBorder="1" applyAlignment="1">
      <alignment horizontal="center"/>
    </xf>
    <xf numFmtId="3" fontId="4" fillId="0" borderId="25" xfId="0" applyNumberFormat="1" applyFont="1" applyBorder="1" applyAlignment="1">
      <alignment horizontal="center"/>
    </xf>
    <xf numFmtId="0" fontId="4" fillId="0" borderId="27" xfId="0" applyNumberFormat="1" applyFont="1" applyFill="1" applyBorder="1" applyAlignment="1">
      <alignment horizontal="center"/>
    </xf>
    <xf numFmtId="169" fontId="4" fillId="0" borderId="55" xfId="0" applyNumberFormat="1" applyFont="1" applyBorder="1" applyAlignment="1">
      <alignment horizontal="right"/>
    </xf>
    <xf numFmtId="164" fontId="4" fillId="0" borderId="38" xfId="4" applyNumberFormat="1" applyFont="1" applyFill="1" applyBorder="1" applyAlignment="1">
      <alignment horizontal="right"/>
    </xf>
    <xf numFmtId="164" fontId="4" fillId="0" borderId="62" xfId="0" applyNumberFormat="1" applyFont="1" applyFill="1" applyBorder="1" applyAlignment="1">
      <alignment horizontal="right"/>
    </xf>
    <xf numFmtId="164" fontId="4" fillId="0" borderId="25" xfId="4" applyNumberFormat="1" applyFont="1" applyFill="1" applyBorder="1" applyAlignment="1">
      <alignment horizontal="right"/>
    </xf>
    <xf numFmtId="164" fontId="4" fillId="0" borderId="65" xfId="4" applyNumberFormat="1" applyFont="1" applyFill="1" applyBorder="1" applyAlignment="1">
      <alignment horizontal="right"/>
    </xf>
    <xf numFmtId="164" fontId="4" fillId="0" borderId="46" xfId="4" applyNumberFormat="1" applyFont="1" applyFill="1" applyBorder="1" applyAlignment="1">
      <alignment horizontal="right"/>
    </xf>
    <xf numFmtId="169" fontId="13" fillId="0" borderId="55" xfId="0" applyNumberFormat="1" applyFont="1" applyBorder="1"/>
    <xf numFmtId="169" fontId="13" fillId="0" borderId="0" xfId="0" applyNumberFormat="1" applyFont="1"/>
    <xf numFmtId="164" fontId="4" fillId="0" borderId="58" xfId="4" applyNumberFormat="1" applyFont="1" applyBorder="1" applyAlignment="1">
      <alignment horizontal="right"/>
    </xf>
    <xf numFmtId="169" fontId="13" fillId="0" borderId="66" xfId="0" applyNumberFormat="1" applyFont="1" applyBorder="1"/>
    <xf numFmtId="169" fontId="13" fillId="0" borderId="58" xfId="0" applyNumberFormat="1" applyFont="1" applyFill="1" applyBorder="1" applyAlignment="1" applyProtection="1"/>
    <xf numFmtId="169" fontId="4" fillId="0" borderId="58" xfId="0" applyNumberFormat="1" applyFont="1" applyFill="1" applyBorder="1" applyAlignment="1">
      <alignment horizontal="right"/>
    </xf>
    <xf numFmtId="169" fontId="4" fillId="0" borderId="55" xfId="1" applyNumberFormat="1" applyFont="1" applyFill="1" applyBorder="1"/>
    <xf numFmtId="169" fontId="4" fillId="0" borderId="25" xfId="0" applyNumberFormat="1" applyFont="1" applyFill="1" applyBorder="1"/>
    <xf numFmtId="169" fontId="4" fillId="0" borderId="25" xfId="1" applyNumberFormat="1" applyFont="1" applyFill="1" applyBorder="1"/>
    <xf numFmtId="169" fontId="4" fillId="0" borderId="54" xfId="0" applyNumberFormat="1" applyFont="1" applyFill="1" applyBorder="1"/>
    <xf numFmtId="169" fontId="4" fillId="0" borderId="38" xfId="1" applyNumberFormat="1" applyFont="1" applyFill="1" applyBorder="1"/>
    <xf numFmtId="169" fontId="4" fillId="0" borderId="26" xfId="1" applyNumberFormat="1" applyFont="1" applyFill="1" applyBorder="1"/>
    <xf numFmtId="169" fontId="3" fillId="0" borderId="38" xfId="1" applyNumberFormat="1" applyFont="1" applyFill="1" applyBorder="1"/>
    <xf numFmtId="169" fontId="3" fillId="0" borderId="26" xfId="0" applyNumberFormat="1" applyFont="1" applyFill="1" applyBorder="1"/>
    <xf numFmtId="169" fontId="3" fillId="0" borderId="26" xfId="1" applyNumberFormat="1" applyFont="1" applyFill="1" applyBorder="1"/>
    <xf numFmtId="169" fontId="3" fillId="0" borderId="56" xfId="0" applyNumberFormat="1" applyFont="1" applyFill="1" applyBorder="1"/>
    <xf numFmtId="164" fontId="13" fillId="0" borderId="54" xfId="0" applyNumberFormat="1" applyFont="1" applyFill="1" applyBorder="1"/>
    <xf numFmtId="164" fontId="13" fillId="0" borderId="57" xfId="0" applyNumberFormat="1" applyFont="1" applyFill="1" applyBorder="1"/>
    <xf numFmtId="169" fontId="13" fillId="0" borderId="0" xfId="0" applyNumberFormat="1" applyFont="1" applyFill="1"/>
    <xf numFmtId="169" fontId="13" fillId="0" borderId="55" xfId="0" applyNumberFormat="1" applyFont="1" applyFill="1" applyBorder="1"/>
    <xf numFmtId="0" fontId="4" fillId="0" borderId="1" xfId="0" applyFont="1" applyFill="1" applyBorder="1" applyAlignment="1">
      <alignment horizontal="center"/>
    </xf>
    <xf numFmtId="164" fontId="13" fillId="0" borderId="28" xfId="4" applyNumberFormat="1" applyFont="1" applyFill="1" applyBorder="1" applyAlignment="1">
      <alignment horizontal="right"/>
    </xf>
    <xf numFmtId="164" fontId="4" fillId="0" borderId="55" xfId="0" applyNumberFormat="1" applyFont="1" applyFill="1" applyBorder="1" applyAlignment="1">
      <alignment horizontal="right"/>
    </xf>
    <xf numFmtId="169" fontId="13" fillId="0" borderId="0" xfId="0" applyNumberFormat="1" applyFont="1" applyFill="1" applyBorder="1" applyAlignment="1" applyProtection="1"/>
    <xf numFmtId="0" fontId="4" fillId="0" borderId="7" xfId="0" applyFont="1" applyBorder="1" applyAlignment="1"/>
    <xf numFmtId="0" fontId="4" fillId="0" borderId="24" xfId="0" applyFont="1" applyBorder="1" applyAlignment="1"/>
    <xf numFmtId="0" fontId="4" fillId="0" borderId="4" xfId="0" applyFont="1" applyBorder="1" applyAlignment="1"/>
    <xf numFmtId="0" fontId="4" fillId="0" borderId="23" xfId="0" applyFont="1" applyFill="1" applyBorder="1" applyAlignment="1"/>
    <xf numFmtId="0" fontId="4" fillId="0" borderId="24" xfId="0" applyFont="1" applyFill="1" applyBorder="1" applyAlignment="1"/>
    <xf numFmtId="0" fontId="4" fillId="0" borderId="7" xfId="0" applyFont="1" applyFill="1" applyBorder="1" applyAlignment="1"/>
    <xf numFmtId="0" fontId="4" fillId="0" borderId="4" xfId="0" applyFont="1" applyFill="1" applyBorder="1" applyAlignment="1"/>
    <xf numFmtId="0" fontId="4" fillId="2" borderId="23" xfId="0" applyFont="1" applyFill="1" applyBorder="1" applyAlignment="1"/>
    <xf numFmtId="0" fontId="4" fillId="2" borderId="40" xfId="0" applyFont="1" applyFill="1" applyBorder="1" applyAlignment="1"/>
    <xf numFmtId="0" fontId="3" fillId="0" borderId="16" xfId="0" applyFont="1" applyBorder="1" applyAlignment="1">
      <alignment horizontal="center"/>
    </xf>
    <xf numFmtId="0" fontId="4" fillId="0" borderId="77" xfId="0" applyFont="1" applyFill="1" applyBorder="1" applyAlignment="1">
      <alignment horizontal="right"/>
    </xf>
    <xf numFmtId="166" fontId="3" fillId="0" borderId="18" xfId="0" applyNumberFormat="1" applyFont="1" applyFill="1" applyBorder="1" applyAlignment="1">
      <alignment horizontal="right"/>
    </xf>
    <xf numFmtId="3" fontId="3" fillId="0" borderId="18" xfId="0" applyNumberFormat="1" applyFont="1" applyBorder="1" applyAlignment="1">
      <alignment horizontal="right"/>
    </xf>
    <xf numFmtId="3" fontId="4" fillId="0" borderId="18" xfId="1" applyNumberFormat="1" applyFont="1" applyBorder="1" applyAlignment="1">
      <alignment horizontal="right"/>
    </xf>
    <xf numFmtId="0" fontId="4" fillId="0" borderId="23" xfId="0" applyFont="1" applyBorder="1" applyAlignment="1">
      <alignment horizontal="right"/>
    </xf>
    <xf numFmtId="0" fontId="4" fillId="0" borderId="42" xfId="0" applyFont="1" applyFill="1" applyBorder="1"/>
    <xf numFmtId="3" fontId="4" fillId="0" borderId="22" xfId="1" applyNumberFormat="1" applyFont="1" applyFill="1" applyBorder="1" applyAlignment="1">
      <alignment horizontal="center"/>
    </xf>
    <xf numFmtId="3" fontId="4" fillId="0" borderId="24" xfId="1" applyNumberFormat="1" applyFont="1" applyFill="1" applyBorder="1" applyAlignment="1">
      <alignment horizontal="right"/>
    </xf>
    <xf numFmtId="3" fontId="4" fillId="0" borderId="18" xfId="0" applyNumberFormat="1" applyFont="1" applyBorder="1" applyAlignment="1">
      <alignment horizontal="right"/>
    </xf>
    <xf numFmtId="3" fontId="4" fillId="0" borderId="3" xfId="1" applyNumberFormat="1" applyFont="1" applyBorder="1" applyAlignment="1">
      <alignment horizontal="right"/>
    </xf>
    <xf numFmtId="3" fontId="4" fillId="0" borderId="6" xfId="0" applyNumberFormat="1" applyFont="1" applyBorder="1" applyAlignment="1">
      <alignment horizontal="right"/>
    </xf>
    <xf numFmtId="0" fontId="4" fillId="0" borderId="18" xfId="0" applyFont="1" applyBorder="1" applyAlignment="1">
      <alignment horizontal="right"/>
    </xf>
    <xf numFmtId="0" fontId="4" fillId="0" borderId="58" xfId="0" applyFont="1" applyBorder="1" applyAlignment="1">
      <alignment horizontal="right"/>
    </xf>
    <xf numFmtId="3" fontId="4" fillId="0" borderId="18" xfId="0" applyNumberFormat="1" applyFont="1" applyFill="1" applyBorder="1" applyAlignment="1">
      <alignment horizontal="right"/>
    </xf>
    <xf numFmtId="169" fontId="4" fillId="0" borderId="56" xfId="0" applyNumberFormat="1" applyFont="1" applyFill="1" applyBorder="1" applyAlignment="1">
      <alignment horizontal="right"/>
    </xf>
    <xf numFmtId="169" fontId="4" fillId="0" borderId="64" xfId="0" applyNumberFormat="1" applyFont="1" applyFill="1" applyBorder="1" applyAlignment="1">
      <alignment horizontal="right"/>
    </xf>
    <xf numFmtId="164" fontId="4" fillId="0" borderId="64" xfId="0" applyNumberFormat="1" applyFont="1" applyFill="1" applyBorder="1" applyAlignment="1">
      <alignment horizontal="right"/>
    </xf>
    <xf numFmtId="164" fontId="4" fillId="0" borderId="38" xfId="0" applyNumberFormat="1" applyFont="1" applyBorder="1" applyAlignment="1"/>
    <xf numFmtId="164" fontId="4" fillId="0" borderId="26" xfId="0" applyNumberFormat="1" applyFont="1" applyBorder="1" applyAlignment="1"/>
    <xf numFmtId="164" fontId="4" fillId="0" borderId="26" xfId="0" applyNumberFormat="1" applyFont="1" applyFill="1" applyBorder="1" applyAlignment="1"/>
    <xf numFmtId="164" fontId="4" fillId="0" borderId="56" xfId="0" applyNumberFormat="1" applyFont="1" applyFill="1" applyBorder="1" applyAlignment="1"/>
    <xf numFmtId="164" fontId="4" fillId="0" borderId="38" xfId="0" applyNumberFormat="1" applyFont="1" applyFill="1" applyBorder="1" applyAlignment="1"/>
    <xf numFmtId="164" fontId="4" fillId="0" borderId="26" xfId="4" applyNumberFormat="1" applyFont="1" applyFill="1" applyBorder="1" applyAlignment="1"/>
    <xf numFmtId="164" fontId="4" fillId="0" borderId="62" xfId="0" applyNumberFormat="1" applyFont="1" applyBorder="1" applyAlignment="1"/>
    <xf numFmtId="164" fontId="4" fillId="0" borderId="27" xfId="0" applyNumberFormat="1" applyFont="1" applyBorder="1" applyAlignment="1"/>
    <xf numFmtId="164" fontId="4" fillId="0" borderId="61" xfId="0" applyNumberFormat="1" applyFont="1" applyFill="1" applyBorder="1" applyAlignment="1"/>
    <xf numFmtId="164" fontId="4" fillId="0" borderId="27" xfId="0" applyNumberFormat="1" applyFont="1" applyFill="1" applyBorder="1" applyAlignment="1"/>
    <xf numFmtId="164" fontId="4" fillId="0" borderId="62" xfId="0" applyNumberFormat="1" applyFont="1" applyFill="1" applyBorder="1" applyAlignment="1"/>
    <xf numFmtId="164" fontId="4" fillId="0" borderId="27" xfId="4" applyNumberFormat="1" applyFont="1" applyFill="1" applyBorder="1" applyAlignment="1"/>
    <xf numFmtId="0" fontId="3" fillId="0" borderId="77" xfId="0" applyFont="1" applyBorder="1" applyAlignment="1">
      <alignment horizontal="center"/>
    </xf>
    <xf numFmtId="0" fontId="4" fillId="0" borderId="75" xfId="0" applyFont="1" applyBorder="1"/>
    <xf numFmtId="0" fontId="4" fillId="0" borderId="23" xfId="0" applyFont="1" applyBorder="1" applyAlignment="1"/>
    <xf numFmtId="0" fontId="4" fillId="0" borderId="81" xfId="0" applyFont="1" applyBorder="1"/>
    <xf numFmtId="0" fontId="4" fillId="0" borderId="32" xfId="0" applyFont="1" applyFill="1" applyBorder="1" applyAlignment="1">
      <alignment horizontal="right"/>
    </xf>
    <xf numFmtId="0" fontId="4" fillId="0" borderId="32" xfId="0" applyFont="1" applyBorder="1" applyAlignment="1">
      <alignment horizontal="right"/>
    </xf>
    <xf numFmtId="0" fontId="5" fillId="0" borderId="32" xfId="0" applyFont="1" applyBorder="1"/>
    <xf numFmtId="0" fontId="4" fillId="0" borderId="56" xfId="0" applyNumberFormat="1" applyFont="1" applyFill="1" applyBorder="1" applyAlignment="1">
      <alignment horizontal="right"/>
    </xf>
    <xf numFmtId="0" fontId="4" fillId="0" borderId="65" xfId="0" applyNumberFormat="1" applyFont="1" applyFill="1" applyBorder="1" applyAlignment="1">
      <alignment horizontal="right"/>
    </xf>
    <xf numFmtId="0" fontId="4" fillId="0" borderId="64" xfId="0" applyFont="1" applyFill="1" applyBorder="1"/>
    <xf numFmtId="0" fontId="3" fillId="0" borderId="61" xfId="0" applyFont="1" applyFill="1" applyBorder="1" applyAlignment="1">
      <alignment horizontal="right"/>
    </xf>
    <xf numFmtId="0" fontId="4" fillId="0" borderId="46" xfId="0" applyNumberFormat="1" applyFont="1" applyFill="1" applyBorder="1" applyAlignment="1">
      <alignment horizontal="right"/>
    </xf>
    <xf numFmtId="169" fontId="13" fillId="0" borderId="0" xfId="0" applyNumberFormat="1" applyFont="1" applyFill="1" applyBorder="1"/>
    <xf numFmtId="169" fontId="13" fillId="0" borderId="25" xfId="0" applyNumberFormat="1" applyFont="1" applyBorder="1"/>
    <xf numFmtId="169" fontId="13" fillId="0" borderId="8" xfId="0" applyNumberFormat="1" applyFont="1" applyFill="1" applyBorder="1" applyAlignment="1" applyProtection="1"/>
    <xf numFmtId="0" fontId="4" fillId="0" borderId="3" xfId="0" applyFont="1" applyFill="1" applyBorder="1" applyAlignment="1">
      <alignment horizontal="right"/>
    </xf>
    <xf numFmtId="0" fontId="4" fillId="0" borderId="63" xfId="0" applyFont="1" applyBorder="1"/>
    <xf numFmtId="164" fontId="4" fillId="0" borderId="8" xfId="0" applyNumberFormat="1" applyFont="1" applyFill="1" applyBorder="1"/>
    <xf numFmtId="0" fontId="4" fillId="2" borderId="4" xfId="0" applyFont="1" applyFill="1" applyBorder="1" applyAlignment="1"/>
    <xf numFmtId="3" fontId="3" fillId="0" borderId="28" xfId="1" applyNumberFormat="1" applyFont="1" applyFill="1" applyBorder="1"/>
    <xf numFmtId="0" fontId="4" fillId="0" borderId="26" xfId="0" applyNumberFormat="1" applyFont="1" applyFill="1" applyBorder="1" applyAlignment="1">
      <alignment horizontal="right"/>
    </xf>
    <xf numFmtId="0" fontId="4" fillId="0" borderId="27" xfId="0" applyFont="1" applyFill="1" applyBorder="1" applyAlignment="1">
      <alignment horizontal="right"/>
    </xf>
    <xf numFmtId="0" fontId="4" fillId="0" borderId="61" xfId="0" applyNumberFormat="1" applyFont="1" applyFill="1" applyBorder="1" applyAlignment="1">
      <alignment horizontal="right"/>
    </xf>
    <xf numFmtId="3" fontId="4" fillId="0" borderId="61" xfId="1" applyNumberFormat="1" applyFont="1" applyBorder="1" applyAlignment="1">
      <alignment horizontal="center"/>
    </xf>
    <xf numFmtId="0" fontId="4" fillId="0" borderId="54" xfId="0" applyNumberFormat="1" applyFont="1" applyFill="1" applyBorder="1" applyAlignment="1">
      <alignment horizontal="center"/>
    </xf>
    <xf numFmtId="164" fontId="4" fillId="0" borderId="55" xfId="4" applyNumberFormat="1" applyFont="1" applyFill="1" applyBorder="1" applyAlignment="1">
      <alignment horizontal="right"/>
    </xf>
    <xf numFmtId="164" fontId="4" fillId="0" borderId="60" xfId="0" applyNumberFormat="1" applyFont="1" applyFill="1" applyBorder="1" applyAlignment="1">
      <alignment horizontal="right"/>
    </xf>
    <xf numFmtId="164" fontId="4" fillId="0" borderId="48" xfId="0" applyNumberFormat="1" applyFont="1" applyFill="1" applyBorder="1" applyAlignment="1">
      <alignment horizontal="right"/>
    </xf>
    <xf numFmtId="164" fontId="4" fillId="0" borderId="59" xfId="0" applyNumberFormat="1" applyFont="1" applyFill="1" applyBorder="1" applyAlignment="1">
      <alignment horizontal="right"/>
    </xf>
    <xf numFmtId="1" fontId="4" fillId="0" borderId="56" xfId="0" applyNumberFormat="1" applyFont="1" applyFill="1" applyBorder="1" applyAlignment="1">
      <alignment horizontal="center"/>
    </xf>
    <xf numFmtId="0" fontId="4" fillId="0" borderId="65" xfId="0" applyNumberFormat="1" applyFont="1" applyFill="1" applyBorder="1"/>
    <xf numFmtId="169" fontId="4" fillId="0" borderId="0" xfId="0" applyNumberFormat="1" applyFont="1" applyFill="1" applyBorder="1" applyAlignment="1">
      <alignment horizontal="right"/>
    </xf>
    <xf numFmtId="0" fontId="4" fillId="0" borderId="33" xfId="0" applyFont="1" applyBorder="1" applyAlignment="1">
      <alignment horizontal="right" wrapText="1"/>
    </xf>
    <xf numFmtId="0" fontId="5" fillId="0" borderId="32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3" fontId="4" fillId="0" borderId="0" xfId="1" applyNumberFormat="1" applyFont="1" applyFill="1" applyBorder="1" applyAlignment="1">
      <alignment horizontal="right"/>
    </xf>
    <xf numFmtId="0" fontId="4" fillId="0" borderId="73" xfId="0" applyFont="1" applyBorder="1"/>
    <xf numFmtId="3" fontId="4" fillId="0" borderId="8" xfId="1" applyNumberFormat="1" applyFont="1" applyBorder="1" applyAlignment="1">
      <alignment horizontal="center"/>
    </xf>
    <xf numFmtId="0" fontId="4" fillId="0" borderId="8" xfId="0" applyFont="1" applyBorder="1" applyAlignment="1">
      <alignment horizontal="right"/>
    </xf>
    <xf numFmtId="3" fontId="4" fillId="0" borderId="8" xfId="1" applyNumberFormat="1" applyFont="1" applyBorder="1" applyAlignment="1">
      <alignment horizontal="right"/>
    </xf>
    <xf numFmtId="166" fontId="4" fillId="0" borderId="73" xfId="13" applyNumberFormat="1" applyFont="1" applyFill="1" applyBorder="1" applyAlignment="1">
      <alignment horizontal="center"/>
    </xf>
    <xf numFmtId="171" fontId="4" fillId="0" borderId="73" xfId="13" applyNumberFormat="1" applyFont="1" applyFill="1" applyBorder="1" applyAlignment="1">
      <alignment horizontal="center"/>
    </xf>
    <xf numFmtId="0" fontId="4" fillId="0" borderId="73" xfId="0" applyFont="1" applyFill="1" applyBorder="1"/>
    <xf numFmtId="0" fontId="3" fillId="0" borderId="82" xfId="0" applyFont="1" applyFill="1" applyBorder="1" applyAlignment="1">
      <alignment horizontal="center"/>
    </xf>
    <xf numFmtId="0" fontId="3" fillId="0" borderId="83" xfId="0" applyFont="1" applyFill="1" applyBorder="1" applyAlignment="1">
      <alignment horizontal="center"/>
    </xf>
    <xf numFmtId="0" fontId="3" fillId="0" borderId="84" xfId="0" applyFont="1" applyBorder="1" applyAlignment="1">
      <alignment horizontal="center"/>
    </xf>
    <xf numFmtId="0" fontId="3" fillId="0" borderId="85" xfId="0" applyFont="1" applyBorder="1" applyAlignment="1">
      <alignment horizontal="center"/>
    </xf>
    <xf numFmtId="0" fontId="3" fillId="0" borderId="86" xfId="0" applyFont="1" applyBorder="1" applyAlignment="1">
      <alignment horizontal="center"/>
    </xf>
    <xf numFmtId="0" fontId="3" fillId="0" borderId="87" xfId="0" applyFont="1" applyBorder="1" applyAlignment="1">
      <alignment horizontal="center"/>
    </xf>
    <xf numFmtId="0" fontId="3" fillId="0" borderId="88" xfId="0" applyFont="1" applyFill="1" applyBorder="1" applyAlignment="1">
      <alignment horizontal="center"/>
    </xf>
    <xf numFmtId="0" fontId="3" fillId="0" borderId="89" xfId="0" applyFont="1" applyFill="1" applyBorder="1" applyAlignment="1">
      <alignment horizontal="center"/>
    </xf>
    <xf numFmtId="0" fontId="3" fillId="0" borderId="86" xfId="0" applyFont="1" applyFill="1" applyBorder="1" applyAlignment="1">
      <alignment horizontal="center"/>
    </xf>
    <xf numFmtId="0" fontId="3" fillId="0" borderId="87" xfId="0" applyFont="1" applyFill="1" applyBorder="1" applyAlignment="1">
      <alignment horizontal="center"/>
    </xf>
    <xf numFmtId="1" fontId="4" fillId="0" borderId="0" xfId="0" applyNumberFormat="1" applyFont="1"/>
    <xf numFmtId="3" fontId="4" fillId="0" borderId="73" xfId="0" applyNumberFormat="1" applyFont="1" applyBorder="1"/>
    <xf numFmtId="1" fontId="4" fillId="0" borderId="73" xfId="0" applyNumberFormat="1" applyFont="1" applyBorder="1"/>
    <xf numFmtId="1" fontId="4" fillId="0" borderId="90" xfId="0" applyNumberFormat="1" applyFont="1" applyBorder="1"/>
    <xf numFmtId="0" fontId="4" fillId="0" borderId="90" xfId="0" applyFont="1" applyBorder="1"/>
    <xf numFmtId="0" fontId="4" fillId="0" borderId="1" xfId="0" applyFont="1" applyBorder="1"/>
    <xf numFmtId="0" fontId="3" fillId="0" borderId="0" xfId="0" applyFont="1" applyFill="1" applyBorder="1" applyAlignment="1">
      <alignment horizontal="center"/>
    </xf>
    <xf numFmtId="0" fontId="3" fillId="0" borderId="84" xfId="0" applyFont="1" applyFill="1" applyBorder="1" applyAlignment="1">
      <alignment horizontal="center"/>
    </xf>
    <xf numFmtId="0" fontId="3" fillId="0" borderId="73" xfId="0" applyFont="1" applyFill="1" applyBorder="1" applyAlignment="1">
      <alignment horizontal="center"/>
    </xf>
    <xf numFmtId="0" fontId="3" fillId="0" borderId="91" xfId="0" applyFont="1" applyBorder="1" applyAlignment="1">
      <alignment horizontal="center"/>
    </xf>
    <xf numFmtId="0" fontId="7" fillId="0" borderId="73" xfId="0" applyFont="1" applyBorder="1" applyAlignment="1"/>
    <xf numFmtId="166" fontId="4" fillId="0" borderId="1" xfId="13" applyNumberFormat="1" applyFont="1" applyFill="1" applyBorder="1" applyAlignment="1">
      <alignment horizontal="right"/>
    </xf>
    <xf numFmtId="0" fontId="4" fillId="0" borderId="91" xfId="0" applyFont="1" applyBorder="1"/>
    <xf numFmtId="0" fontId="3" fillId="0" borderId="29" xfId="0" applyFont="1" applyBorder="1" applyAlignment="1">
      <alignment horizontal="left"/>
    </xf>
    <xf numFmtId="0" fontId="3" fillId="0" borderId="30" xfId="0" applyFont="1" applyBorder="1" applyAlignment="1">
      <alignment horizontal="left"/>
    </xf>
    <xf numFmtId="0" fontId="4" fillId="0" borderId="30" xfId="0" applyFont="1" applyBorder="1" applyAlignment="1">
      <alignment horizontal="right"/>
    </xf>
    <xf numFmtId="0" fontId="4" fillId="0" borderId="92" xfId="0" applyFont="1" applyBorder="1" applyAlignment="1">
      <alignment horizontal="right"/>
    </xf>
    <xf numFmtId="166" fontId="4" fillId="0" borderId="93" xfId="13" applyNumberFormat="1" applyFont="1" applyFill="1" applyBorder="1" applyAlignment="1">
      <alignment horizontal="right"/>
    </xf>
    <xf numFmtId="166" fontId="4" fillId="0" borderId="66" xfId="13" applyNumberFormat="1" applyFont="1" applyFill="1" applyBorder="1" applyAlignment="1">
      <alignment horizontal="center"/>
    </xf>
    <xf numFmtId="166" fontId="4" fillId="0" borderId="93" xfId="13" applyNumberFormat="1" applyFont="1" applyBorder="1" applyAlignment="1">
      <alignment horizontal="right"/>
    </xf>
    <xf numFmtId="171" fontId="4" fillId="0" borderId="66" xfId="13" applyNumberFormat="1" applyFont="1" applyFill="1" applyBorder="1" applyAlignment="1">
      <alignment horizontal="center"/>
    </xf>
    <xf numFmtId="171" fontId="4" fillId="0" borderId="94" xfId="13" applyNumberFormat="1" applyFont="1" applyFill="1" applyBorder="1" applyAlignment="1">
      <alignment horizontal="center"/>
    </xf>
    <xf numFmtId="0" fontId="3" fillId="0" borderId="95" xfId="12" applyFont="1" applyBorder="1"/>
    <xf numFmtId="0" fontId="4" fillId="0" borderId="96" xfId="12" applyFont="1" applyBorder="1"/>
    <xf numFmtId="0" fontId="4" fillId="0" borderId="97" xfId="12" applyFont="1" applyBorder="1"/>
    <xf numFmtId="166" fontId="18" fillId="0" borderId="0" xfId="12" applyNumberFormat="1" applyFont="1" applyBorder="1"/>
    <xf numFmtId="0" fontId="17" fillId="0" borderId="0" xfId="12" applyFont="1" applyBorder="1"/>
    <xf numFmtId="0" fontId="3" fillId="0" borderId="32" xfId="0" applyFont="1" applyBorder="1" applyAlignment="1">
      <alignment horizontal="left"/>
    </xf>
    <xf numFmtId="0" fontId="4" fillId="0" borderId="31" xfId="0" applyFont="1" applyBorder="1" applyAlignment="1">
      <alignment horizontal="right"/>
    </xf>
    <xf numFmtId="0" fontId="4" fillId="2" borderId="0" xfId="12" applyFont="1" applyFill="1" applyBorder="1" applyAlignment="1">
      <alignment horizontal="right"/>
    </xf>
    <xf numFmtId="0" fontId="4" fillId="2" borderId="0" xfId="0" applyFont="1" applyFill="1"/>
    <xf numFmtId="0" fontId="3" fillId="0" borderId="0" xfId="12" applyFont="1" applyBorder="1" applyAlignment="1">
      <alignment horizontal="center"/>
    </xf>
    <xf numFmtId="0" fontId="4" fillId="0" borderId="66" xfId="0" applyFont="1" applyBorder="1" applyAlignment="1">
      <alignment horizontal="center"/>
    </xf>
    <xf numFmtId="3" fontId="4" fillId="0" borderId="0" xfId="2" applyNumberFormat="1" applyFont="1" applyFill="1" applyBorder="1"/>
    <xf numFmtId="3" fontId="4" fillId="0" borderId="0" xfId="12" applyNumberFormat="1" applyFont="1" applyFill="1" applyBorder="1"/>
    <xf numFmtId="0" fontId="4" fillId="0" borderId="0" xfId="12" applyFont="1" applyFill="1" applyBorder="1" applyAlignment="1">
      <alignment horizontal="right"/>
    </xf>
    <xf numFmtId="2" fontId="4" fillId="0" borderId="0" xfId="12" applyNumberFormat="1" applyFont="1" applyFill="1" applyBorder="1"/>
    <xf numFmtId="0" fontId="0" fillId="0" borderId="0" xfId="0" applyBorder="1"/>
    <xf numFmtId="0" fontId="4" fillId="2" borderId="0" xfId="0" applyFont="1" applyFill="1" applyBorder="1"/>
    <xf numFmtId="0" fontId="0" fillId="0" borderId="66" xfId="0" applyBorder="1" applyAlignment="1"/>
    <xf numFmtId="166" fontId="4" fillId="0" borderId="60" xfId="14" applyNumberFormat="1" applyFont="1" applyBorder="1"/>
    <xf numFmtId="166" fontId="4" fillId="0" borderId="38" xfId="14" applyNumberFormat="1" applyFont="1" applyBorder="1"/>
    <xf numFmtId="166" fontId="4" fillId="0" borderId="62" xfId="14" applyNumberFormat="1" applyFont="1" applyBorder="1"/>
    <xf numFmtId="166" fontId="4" fillId="0" borderId="59" xfId="14" applyNumberFormat="1" applyFont="1" applyBorder="1"/>
    <xf numFmtId="166" fontId="4" fillId="0" borderId="56" xfId="14" applyNumberFormat="1" applyFont="1" applyBorder="1"/>
    <xf numFmtId="166" fontId="4" fillId="0" borderId="57" xfId="14" applyNumberFormat="1" applyFont="1" applyBorder="1"/>
    <xf numFmtId="166" fontId="4" fillId="0" borderId="54" xfId="14" applyNumberFormat="1" applyFont="1" applyBorder="1"/>
    <xf numFmtId="0" fontId="4" fillId="0" borderId="34" xfId="12" applyFont="1" applyBorder="1"/>
    <xf numFmtId="166" fontId="4" fillId="0" borderId="25" xfId="14" applyNumberFormat="1" applyFont="1" applyFill="1" applyBorder="1"/>
    <xf numFmtId="166" fontId="4" fillId="0" borderId="26" xfId="14" applyNumberFormat="1" applyFont="1" applyFill="1" applyBorder="1"/>
    <xf numFmtId="166" fontId="4" fillId="0" borderId="46" xfId="14" applyNumberFormat="1" applyFont="1" applyFill="1" applyBorder="1"/>
    <xf numFmtId="0" fontId="4" fillId="0" borderId="55" xfId="12" applyFont="1" applyBorder="1"/>
    <xf numFmtId="0" fontId="4" fillId="0" borderId="66" xfId="12" applyFont="1" applyBorder="1"/>
    <xf numFmtId="0" fontId="4" fillId="0" borderId="38" xfId="12" applyFont="1" applyBorder="1"/>
    <xf numFmtId="0" fontId="3" fillId="0" borderId="98" xfId="12" applyFont="1" applyBorder="1"/>
    <xf numFmtId="0" fontId="4" fillId="2" borderId="8" xfId="0" applyFont="1" applyFill="1" applyBorder="1"/>
    <xf numFmtId="0" fontId="4" fillId="0" borderId="94" xfId="12" applyFont="1" applyBorder="1"/>
    <xf numFmtId="0" fontId="4" fillId="2" borderId="66" xfId="0" applyFont="1" applyFill="1" applyBorder="1"/>
    <xf numFmtId="0" fontId="4" fillId="2" borderId="94" xfId="0" applyFont="1" applyFill="1" applyBorder="1"/>
    <xf numFmtId="0" fontId="4" fillId="2" borderId="99" xfId="0" applyFont="1" applyFill="1" applyBorder="1"/>
    <xf numFmtId="0" fontId="3" fillId="2" borderId="0" xfId="12" quotePrefix="1" applyFont="1" applyFill="1" applyBorder="1" applyAlignment="1">
      <alignment horizontal="center"/>
    </xf>
    <xf numFmtId="0" fontId="3" fillId="2" borderId="0" xfId="12" applyFont="1" applyFill="1" applyBorder="1" applyAlignment="1">
      <alignment horizontal="center"/>
    </xf>
    <xf numFmtId="0" fontId="0" fillId="2" borderId="99" xfId="0" applyFill="1" applyBorder="1" applyAlignment="1">
      <alignment horizontal="center"/>
    </xf>
    <xf numFmtId="0" fontId="3" fillId="0" borderId="100" xfId="0" applyFont="1" applyFill="1" applyBorder="1" applyAlignment="1">
      <alignment horizontal="center"/>
    </xf>
    <xf numFmtId="0" fontId="3" fillId="0" borderId="101" xfId="0" applyFont="1" applyFill="1" applyBorder="1" applyAlignment="1">
      <alignment horizontal="center"/>
    </xf>
    <xf numFmtId="0" fontId="3" fillId="0" borderId="53" xfId="0" applyFont="1" applyFill="1" applyBorder="1" applyAlignment="1">
      <alignment horizontal="center"/>
    </xf>
    <xf numFmtId="1" fontId="4" fillId="0" borderId="15" xfId="0" applyNumberFormat="1" applyFont="1" applyBorder="1"/>
    <xf numFmtId="1" fontId="4" fillId="0" borderId="50" xfId="0" applyNumberFormat="1" applyFont="1" applyBorder="1"/>
    <xf numFmtId="3" fontId="3" fillId="0" borderId="102" xfId="0" applyNumberFormat="1" applyFont="1" applyBorder="1"/>
    <xf numFmtId="166" fontId="4" fillId="0" borderId="103" xfId="14" applyNumberFormat="1" applyFont="1" applyFill="1" applyBorder="1"/>
    <xf numFmtId="166" fontId="4" fillId="0" borderId="104" xfId="12" applyNumberFormat="1" applyFont="1" applyBorder="1"/>
    <xf numFmtId="166" fontId="4" fillId="0" borderId="105" xfId="12" applyNumberFormat="1" applyFont="1" applyBorder="1"/>
    <xf numFmtId="0" fontId="0" fillId="0" borderId="73" xfId="0" applyBorder="1" applyAlignment="1">
      <alignment horizontal="center"/>
    </xf>
    <xf numFmtId="1" fontId="4" fillId="0" borderId="11" xfId="0" applyNumberFormat="1" applyFont="1" applyBorder="1"/>
    <xf numFmtId="1" fontId="4" fillId="0" borderId="104" xfId="0" applyNumberFormat="1" applyFont="1" applyBorder="1"/>
    <xf numFmtId="0" fontId="4" fillId="0" borderId="106" xfId="0" applyFont="1" applyBorder="1"/>
    <xf numFmtId="3" fontId="4" fillId="0" borderId="104" xfId="0" applyNumberFormat="1" applyFont="1" applyBorder="1"/>
    <xf numFmtId="0" fontId="4" fillId="0" borderId="107" xfId="0" applyFont="1" applyBorder="1"/>
    <xf numFmtId="168" fontId="4" fillId="0" borderId="73" xfId="0" applyNumberFormat="1" applyFont="1" applyBorder="1"/>
    <xf numFmtId="0" fontId="4" fillId="0" borderId="108" xfId="0" applyFont="1" applyBorder="1"/>
    <xf numFmtId="168" fontId="3" fillId="0" borderId="101" xfId="0" applyNumberFormat="1" applyFont="1" applyBorder="1"/>
    <xf numFmtId="168" fontId="4" fillId="0" borderId="109" xfId="0" applyNumberFormat="1" applyFont="1" applyBorder="1"/>
    <xf numFmtId="168" fontId="4" fillId="0" borderId="104" xfId="0" applyNumberFormat="1" applyFont="1" applyBorder="1"/>
    <xf numFmtId="0" fontId="4" fillId="0" borderId="110" xfId="0" applyFont="1" applyBorder="1"/>
    <xf numFmtId="0" fontId="4" fillId="0" borderId="72" xfId="0" applyFont="1" applyBorder="1"/>
    <xf numFmtId="164" fontId="4" fillId="0" borderId="109" xfId="0" applyNumberFormat="1" applyFont="1" applyBorder="1"/>
    <xf numFmtId="169" fontId="4" fillId="0" borderId="105" xfId="0" applyNumberFormat="1" applyFont="1" applyBorder="1"/>
    <xf numFmtId="169" fontId="4" fillId="0" borderId="104" xfId="0" applyNumberFormat="1" applyFont="1" applyBorder="1"/>
    <xf numFmtId="0" fontId="0" fillId="2" borderId="99" xfId="0" applyFill="1" applyBorder="1" applyAlignment="1"/>
    <xf numFmtId="0" fontId="4" fillId="2" borderId="66" xfId="12" applyFont="1" applyFill="1" applyBorder="1" applyAlignment="1">
      <alignment horizontal="right"/>
    </xf>
    <xf numFmtId="0" fontId="4" fillId="2" borderId="66" xfId="12" applyFont="1" applyFill="1" applyBorder="1" applyAlignment="1"/>
    <xf numFmtId="2" fontId="4" fillId="2" borderId="66" xfId="12" applyNumberFormat="1" applyFont="1" applyFill="1" applyBorder="1" applyAlignment="1"/>
    <xf numFmtId="166" fontId="4" fillId="0" borderId="73" xfId="0" applyNumberFormat="1" applyFont="1" applyBorder="1"/>
    <xf numFmtId="166" fontId="4" fillId="0" borderId="102" xfId="0" applyNumberFormat="1" applyFont="1" applyBorder="1"/>
    <xf numFmtId="0" fontId="3" fillId="0" borderId="111" xfId="0" applyFont="1" applyBorder="1" applyAlignment="1">
      <alignment horizontal="center"/>
    </xf>
    <xf numFmtId="0" fontId="6" fillId="0" borderId="0" xfId="0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4" fillId="0" borderId="104" xfId="0" applyFont="1" applyBorder="1"/>
    <xf numFmtId="0" fontId="4" fillId="0" borderId="56" xfId="0" applyNumberFormat="1" applyFont="1" applyBorder="1" applyAlignment="1">
      <alignment horizontal="center"/>
    </xf>
    <xf numFmtId="169" fontId="4" fillId="0" borderId="38" xfId="0" applyNumberFormat="1" applyFont="1" applyBorder="1" applyAlignment="1">
      <alignment horizontal="center"/>
    </xf>
    <xf numFmtId="169" fontId="4" fillId="0" borderId="26" xfId="0" applyNumberFormat="1" applyFont="1" applyBorder="1" applyAlignment="1">
      <alignment horizontal="center"/>
    </xf>
    <xf numFmtId="0" fontId="4" fillId="0" borderId="56" xfId="0" applyNumberFormat="1" applyFont="1" applyFill="1" applyBorder="1" applyAlignment="1">
      <alignment horizontal="center"/>
    </xf>
    <xf numFmtId="169" fontId="4" fillId="0" borderId="38" xfId="0" applyNumberFormat="1" applyFont="1" applyFill="1" applyBorder="1" applyAlignment="1">
      <alignment horizontal="center"/>
    </xf>
    <xf numFmtId="0" fontId="4" fillId="0" borderId="26" xfId="0" applyNumberFormat="1" applyFont="1" applyFill="1" applyBorder="1" applyAlignment="1">
      <alignment horizontal="center"/>
    </xf>
    <xf numFmtId="169" fontId="4" fillId="0" borderId="26" xfId="0" applyNumberFormat="1" applyFont="1" applyFill="1" applyBorder="1" applyAlignment="1">
      <alignment horizontal="center"/>
    </xf>
    <xf numFmtId="164" fontId="4" fillId="0" borderId="64" xfId="0" applyNumberFormat="1" applyFont="1" applyBorder="1" applyAlignment="1">
      <alignment horizontal="center"/>
    </xf>
    <xf numFmtId="0" fontId="4" fillId="0" borderId="65" xfId="0" applyNumberFormat="1" applyFont="1" applyBorder="1" applyAlignment="1">
      <alignment horizontal="center"/>
    </xf>
    <xf numFmtId="1" fontId="4" fillId="0" borderId="46" xfId="0" applyNumberFormat="1" applyFont="1" applyBorder="1" applyAlignment="1">
      <alignment horizontal="center"/>
    </xf>
    <xf numFmtId="0" fontId="4" fillId="0" borderId="46" xfId="0" applyNumberFormat="1" applyFont="1" applyBorder="1" applyAlignment="1">
      <alignment horizontal="center"/>
    </xf>
    <xf numFmtId="164" fontId="4" fillId="0" borderId="64" xfId="0" applyNumberFormat="1" applyFont="1" applyFill="1" applyBorder="1" applyAlignment="1">
      <alignment horizontal="center"/>
    </xf>
    <xf numFmtId="169" fontId="4" fillId="0" borderId="65" xfId="0" applyNumberFormat="1" applyFont="1" applyFill="1" applyBorder="1" applyAlignment="1">
      <alignment horizontal="center"/>
    </xf>
    <xf numFmtId="164" fontId="4" fillId="0" borderId="46" xfId="0" applyNumberFormat="1" applyFont="1" applyFill="1" applyBorder="1" applyAlignment="1">
      <alignment horizontal="center"/>
    </xf>
    <xf numFmtId="169" fontId="4" fillId="0" borderId="46" xfId="0" applyNumberFormat="1" applyFont="1" applyFill="1" applyBorder="1" applyAlignment="1">
      <alignment horizontal="center"/>
    </xf>
    <xf numFmtId="0" fontId="4" fillId="0" borderId="46" xfId="0" applyNumberFormat="1" applyFont="1" applyFill="1" applyBorder="1" applyAlignment="1">
      <alignment horizontal="center"/>
    </xf>
    <xf numFmtId="0" fontId="4" fillId="0" borderId="61" xfId="0" applyNumberFormat="1" applyFont="1" applyBorder="1" applyAlignment="1">
      <alignment horizontal="center"/>
    </xf>
    <xf numFmtId="5" fontId="4" fillId="0" borderId="62" xfId="0" applyNumberFormat="1" applyFont="1" applyBorder="1" applyAlignment="1">
      <alignment horizontal="center"/>
    </xf>
    <xf numFmtId="1" fontId="4" fillId="0" borderId="27" xfId="0" applyNumberFormat="1" applyFont="1" applyBorder="1" applyAlignment="1">
      <alignment horizontal="center"/>
    </xf>
    <xf numFmtId="169" fontId="4" fillId="0" borderId="27" xfId="0" applyNumberFormat="1" applyFont="1" applyBorder="1" applyAlignment="1">
      <alignment horizontal="center"/>
    </xf>
    <xf numFmtId="1" fontId="4" fillId="0" borderId="61" xfId="0" applyNumberFormat="1" applyFont="1" applyFill="1" applyBorder="1" applyAlignment="1">
      <alignment horizontal="center"/>
    </xf>
    <xf numFmtId="169" fontId="4" fillId="0" borderId="62" xfId="0" applyNumberFormat="1" applyFont="1" applyFill="1" applyBorder="1" applyAlignment="1">
      <alignment horizontal="center"/>
    </xf>
    <xf numFmtId="1" fontId="4" fillId="0" borderId="27" xfId="0" applyNumberFormat="1" applyFont="1" applyFill="1" applyBorder="1" applyAlignment="1">
      <alignment horizontal="center"/>
    </xf>
    <xf numFmtId="169" fontId="4" fillId="0" borderId="27" xfId="0" applyNumberFormat="1" applyFont="1" applyFill="1" applyBorder="1" applyAlignment="1">
      <alignment horizontal="center"/>
    </xf>
    <xf numFmtId="0" fontId="4" fillId="0" borderId="27" xfId="0" applyFont="1" applyFill="1" applyBorder="1" applyAlignment="1">
      <alignment horizontal="center"/>
    </xf>
    <xf numFmtId="1" fontId="4" fillId="0" borderId="107" xfId="0" applyNumberFormat="1" applyFont="1" applyBorder="1" applyAlignment="1">
      <alignment horizontal="center"/>
    </xf>
    <xf numFmtId="169" fontId="4" fillId="0" borderId="109" xfId="0" applyNumberFormat="1" applyFont="1" applyBorder="1" applyAlignment="1">
      <alignment horizontal="center"/>
    </xf>
    <xf numFmtId="0" fontId="4" fillId="0" borderId="91" xfId="0" applyFont="1" applyBorder="1" applyAlignment="1">
      <alignment horizontal="center"/>
    </xf>
    <xf numFmtId="169" fontId="4" fillId="0" borderId="73" xfId="0" applyNumberFormat="1" applyFont="1" applyBorder="1" applyAlignment="1">
      <alignment horizontal="center"/>
    </xf>
    <xf numFmtId="1" fontId="4" fillId="0" borderId="112" xfId="0" applyNumberFormat="1" applyFont="1" applyBorder="1" applyAlignment="1">
      <alignment horizontal="center"/>
    </xf>
    <xf numFmtId="169" fontId="4" fillId="0" borderId="113" xfId="0" applyNumberFormat="1" applyFont="1" applyBorder="1" applyAlignment="1">
      <alignment horizontal="center"/>
    </xf>
    <xf numFmtId="3" fontId="3" fillId="0" borderId="114" xfId="12" applyNumberFormat="1" applyFont="1" applyBorder="1" applyAlignment="1">
      <alignment horizontal="center"/>
    </xf>
    <xf numFmtId="3" fontId="3" fillId="0" borderId="115" xfId="12" applyNumberFormat="1" applyFont="1" applyBorder="1" applyAlignment="1">
      <alignment horizontal="center"/>
    </xf>
    <xf numFmtId="1" fontId="4" fillId="0" borderId="0" xfId="0" applyNumberFormat="1" applyFont="1" applyBorder="1"/>
    <xf numFmtId="1" fontId="4" fillId="0" borderId="102" xfId="0" applyNumberFormat="1" applyFont="1" applyBorder="1"/>
    <xf numFmtId="0" fontId="4" fillId="0" borderId="116" xfId="0" applyFont="1" applyBorder="1"/>
    <xf numFmtId="0" fontId="4" fillId="0" borderId="117" xfId="0" applyFont="1" applyBorder="1"/>
    <xf numFmtId="166" fontId="4" fillId="0" borderId="1" xfId="12" applyNumberFormat="1" applyFont="1" applyBorder="1"/>
    <xf numFmtId="164" fontId="4" fillId="0" borderId="110" xfId="0" applyNumberFormat="1" applyFont="1" applyFill="1" applyBorder="1" applyAlignment="1">
      <alignment horizontal="center"/>
    </xf>
    <xf numFmtId="0" fontId="3" fillId="0" borderId="118" xfId="0" applyFont="1" applyBorder="1" applyAlignment="1">
      <alignment horizontal="center"/>
    </xf>
    <xf numFmtId="3" fontId="4" fillId="0" borderId="0" xfId="0" applyNumberFormat="1" applyFont="1" applyBorder="1"/>
    <xf numFmtId="1" fontId="4" fillId="0" borderId="50" xfId="0" applyNumberFormat="1" applyFont="1" applyBorder="1" applyAlignment="1">
      <alignment horizontal="right"/>
    </xf>
    <xf numFmtId="1" fontId="4" fillId="0" borderId="102" xfId="0" applyNumberFormat="1" applyFont="1" applyBorder="1" applyAlignment="1">
      <alignment horizontal="right"/>
    </xf>
    <xf numFmtId="3" fontId="4" fillId="0" borderId="8" xfId="0" applyNumberFormat="1" applyFont="1" applyBorder="1"/>
    <xf numFmtId="3" fontId="3" fillId="0" borderId="91" xfId="0" applyNumberFormat="1" applyFont="1" applyFill="1" applyBorder="1"/>
    <xf numFmtId="3" fontId="4" fillId="2" borderId="0" xfId="12" applyNumberFormat="1" applyFont="1" applyFill="1" applyBorder="1" applyAlignment="1">
      <alignment horizontal="right"/>
    </xf>
    <xf numFmtId="3" fontId="4" fillId="2" borderId="66" xfId="12" applyNumberFormat="1" applyFont="1" applyFill="1" applyBorder="1" applyAlignment="1">
      <alignment horizontal="right"/>
    </xf>
    <xf numFmtId="3" fontId="4" fillId="2" borderId="0" xfId="0" applyNumberFormat="1" applyFont="1" applyFill="1"/>
    <xf numFmtId="3" fontId="4" fillId="2" borderId="66" xfId="0" applyNumberFormat="1" applyFont="1" applyFill="1" applyBorder="1"/>
    <xf numFmtId="171" fontId="4" fillId="2" borderId="0" xfId="12" applyNumberFormat="1" applyFont="1" applyFill="1" applyBorder="1" applyAlignment="1">
      <alignment horizontal="right"/>
    </xf>
    <xf numFmtId="171" fontId="4" fillId="2" borderId="66" xfId="12" applyNumberFormat="1" applyFont="1" applyFill="1" applyBorder="1" applyAlignment="1">
      <alignment horizontal="right"/>
    </xf>
    <xf numFmtId="171" fontId="4" fillId="2" borderId="0" xfId="0" applyNumberFormat="1" applyFont="1" applyFill="1"/>
    <xf numFmtId="171" fontId="4" fillId="2" borderId="66" xfId="0" applyNumberFormat="1" applyFont="1" applyFill="1" applyBorder="1"/>
    <xf numFmtId="171" fontId="4" fillId="2" borderId="8" xfId="12" applyNumberFormat="1" applyFont="1" applyFill="1" applyBorder="1" applyAlignment="1">
      <alignment horizontal="right"/>
    </xf>
    <xf numFmtId="171" fontId="4" fillId="2" borderId="94" xfId="12" applyNumberFormat="1" applyFont="1" applyFill="1" applyBorder="1" applyAlignment="1">
      <alignment horizontal="right"/>
    </xf>
    <xf numFmtId="171" fontId="4" fillId="2" borderId="8" xfId="0" applyNumberFormat="1" applyFont="1" applyFill="1" applyBorder="1"/>
    <xf numFmtId="171" fontId="4" fillId="2" borderId="94" xfId="0" applyNumberFormat="1" applyFont="1" applyFill="1" applyBorder="1"/>
    <xf numFmtId="2" fontId="4" fillId="2" borderId="0" xfId="12" applyNumberFormat="1" applyFont="1" applyFill="1" applyBorder="1" applyAlignment="1">
      <alignment horizontal="right"/>
    </xf>
    <xf numFmtId="2" fontId="4" fillId="2" borderId="66" xfId="12" applyNumberFormat="1" applyFont="1" applyFill="1" applyBorder="1" applyAlignment="1">
      <alignment horizontal="right"/>
    </xf>
    <xf numFmtId="2" fontId="4" fillId="2" borderId="0" xfId="0" applyNumberFormat="1" applyFont="1" applyFill="1"/>
    <xf numFmtId="2" fontId="4" fillId="2" borderId="66" xfId="0" applyNumberFormat="1" applyFont="1" applyFill="1" applyBorder="1"/>
    <xf numFmtId="1" fontId="4" fillId="0" borderId="45" xfId="0" applyNumberFormat="1" applyFont="1" applyBorder="1"/>
    <xf numFmtId="168" fontId="4" fillId="0" borderId="26" xfId="0" applyNumberFormat="1" applyFont="1" applyBorder="1"/>
    <xf numFmtId="168" fontId="4" fillId="0" borderId="103" xfId="0" applyNumberFormat="1" applyFont="1" applyBorder="1"/>
    <xf numFmtId="168" fontId="4" fillId="0" borderId="25" xfId="0" applyNumberFormat="1" applyFont="1" applyBorder="1"/>
    <xf numFmtId="168" fontId="3" fillId="0" borderId="109" xfId="0" applyNumberFormat="1" applyFont="1" applyBorder="1"/>
    <xf numFmtId="2" fontId="4" fillId="0" borderId="66" xfId="13" applyNumberFormat="1" applyFont="1" applyFill="1" applyBorder="1" applyAlignment="1">
      <alignment horizontal="center"/>
    </xf>
    <xf numFmtId="2" fontId="4" fillId="0" borderId="94" xfId="13" applyNumberFormat="1" applyFont="1" applyFill="1" applyBorder="1" applyAlignment="1">
      <alignment horizontal="center"/>
    </xf>
    <xf numFmtId="1" fontId="4" fillId="0" borderId="0" xfId="13" applyNumberFormat="1" applyFont="1" applyFill="1" applyBorder="1" applyAlignment="1">
      <alignment horizontal="center"/>
    </xf>
    <xf numFmtId="1" fontId="4" fillId="0" borderId="80" xfId="13" applyNumberFormat="1" applyFont="1" applyFill="1" applyBorder="1" applyAlignment="1">
      <alignment horizontal="center"/>
    </xf>
    <xf numFmtId="1" fontId="4" fillId="0" borderId="8" xfId="13" applyNumberFormat="1" applyFont="1" applyFill="1" applyBorder="1" applyAlignment="1">
      <alignment horizontal="center"/>
    </xf>
    <xf numFmtId="171" fontId="4" fillId="0" borderId="66" xfId="13" applyNumberFormat="1" applyFont="1" applyFill="1" applyBorder="1" applyAlignment="1">
      <alignment horizontal="right"/>
    </xf>
    <xf numFmtId="171" fontId="4" fillId="0" borderId="94" xfId="13" applyNumberFormat="1" applyFont="1" applyFill="1" applyBorder="1" applyAlignment="1">
      <alignment horizontal="right"/>
    </xf>
    <xf numFmtId="171" fontId="4" fillId="0" borderId="66" xfId="13" applyNumberFormat="1" applyFont="1" applyBorder="1" applyAlignment="1">
      <alignment horizontal="right"/>
    </xf>
    <xf numFmtId="171" fontId="4" fillId="0" borderId="94" xfId="13" applyNumberFormat="1" applyFont="1" applyBorder="1" applyAlignment="1">
      <alignment horizontal="right"/>
    </xf>
    <xf numFmtId="169" fontId="4" fillId="0" borderId="73" xfId="0" applyNumberFormat="1" applyFont="1" applyBorder="1"/>
    <xf numFmtId="169" fontId="4" fillId="0" borderId="102" xfId="0" applyNumberFormat="1" applyFont="1" applyBorder="1"/>
    <xf numFmtId="9" fontId="4" fillId="0" borderId="73" xfId="0" applyNumberFormat="1" applyFont="1" applyBorder="1"/>
    <xf numFmtId="9" fontId="4" fillId="0" borderId="102" xfId="0" applyNumberFormat="1" applyFont="1" applyBorder="1"/>
    <xf numFmtId="169" fontId="4" fillId="0" borderId="101" xfId="0" applyNumberFormat="1" applyFont="1" applyBorder="1"/>
    <xf numFmtId="169" fontId="3" fillId="0" borderId="101" xfId="0" applyNumberFormat="1" applyFont="1" applyBorder="1"/>
    <xf numFmtId="169" fontId="3" fillId="0" borderId="73" xfId="0" applyNumberFormat="1" applyFont="1" applyBorder="1"/>
    <xf numFmtId="3" fontId="4" fillId="0" borderId="27" xfId="1" applyNumberFormat="1" applyFont="1" applyFill="1" applyBorder="1" applyAlignment="1">
      <alignment horizontal="right"/>
    </xf>
    <xf numFmtId="169" fontId="4" fillId="0" borderId="62" xfId="1" applyNumberFormat="1" applyFont="1" applyFill="1" applyBorder="1" applyAlignment="1">
      <alignment horizontal="right"/>
    </xf>
    <xf numFmtId="169" fontId="4" fillId="0" borderId="27" xfId="1" applyNumberFormat="1" applyFont="1" applyFill="1" applyBorder="1" applyAlignment="1">
      <alignment horizontal="right"/>
    </xf>
    <xf numFmtId="1" fontId="4" fillId="0" borderId="26" xfId="0" applyNumberFormat="1" applyFont="1" applyFill="1" applyBorder="1" applyAlignment="1">
      <alignment horizontal="center"/>
    </xf>
    <xf numFmtId="171" fontId="4" fillId="0" borderId="66" xfId="13" applyNumberFormat="1" applyFont="1" applyBorder="1" applyAlignment="1">
      <alignment horizontal="center"/>
    </xf>
    <xf numFmtId="0" fontId="4" fillId="0" borderId="73" xfId="0" applyFont="1" applyBorder="1" applyAlignment="1">
      <alignment horizontal="center"/>
    </xf>
    <xf numFmtId="3" fontId="4" fillId="0" borderId="0" xfId="0" applyNumberFormat="1" applyFont="1" applyAlignment="1">
      <alignment horizontal="center"/>
    </xf>
    <xf numFmtId="3" fontId="4" fillId="0" borderId="73" xfId="0" applyNumberFormat="1" applyFont="1" applyBorder="1" applyAlignment="1">
      <alignment horizontal="center"/>
    </xf>
    <xf numFmtId="171" fontId="4" fillId="0" borderId="94" xfId="13" applyNumberFormat="1" applyFont="1" applyBorder="1" applyAlignment="1">
      <alignment horizontal="center"/>
    </xf>
    <xf numFmtId="3" fontId="4" fillId="0" borderId="8" xfId="1" applyNumberFormat="1" applyFont="1" applyFill="1" applyBorder="1" applyAlignment="1">
      <alignment horizontal="center"/>
    </xf>
    <xf numFmtId="3" fontId="4" fillId="0" borderId="90" xfId="0" applyNumberFormat="1" applyFont="1" applyBorder="1" applyAlignment="1">
      <alignment horizontal="center"/>
    </xf>
    <xf numFmtId="3" fontId="4" fillId="0" borderId="102" xfId="0" applyNumberFormat="1" applyFont="1" applyBorder="1" applyAlignment="1">
      <alignment horizontal="center"/>
    </xf>
    <xf numFmtId="1" fontId="4" fillId="0" borderId="91" xfId="0" applyNumberFormat="1" applyFont="1" applyBorder="1" applyAlignment="1">
      <alignment horizontal="center"/>
    </xf>
    <xf numFmtId="2" fontId="4" fillId="0" borderId="73" xfId="0" applyNumberFormat="1" applyFont="1" applyBorder="1" applyAlignment="1">
      <alignment horizontal="center"/>
    </xf>
    <xf numFmtId="1" fontId="4" fillId="0" borderId="90" xfId="0" applyNumberFormat="1" applyFont="1" applyBorder="1" applyAlignment="1">
      <alignment horizontal="center"/>
    </xf>
    <xf numFmtId="2" fontId="4" fillId="0" borderId="102" xfId="0" applyNumberFormat="1" applyFont="1" applyBorder="1" applyAlignment="1">
      <alignment horizontal="center"/>
    </xf>
    <xf numFmtId="0" fontId="4" fillId="0" borderId="9" xfId="0" applyNumberFormat="1" applyFont="1" applyBorder="1" applyAlignment="1"/>
    <xf numFmtId="0" fontId="4" fillId="0" borderId="55" xfId="0" applyNumberFormat="1" applyFont="1" applyBorder="1" applyAlignment="1">
      <alignment horizontal="right"/>
    </xf>
    <xf numFmtId="0" fontId="4" fillId="0" borderId="9" xfId="0" applyFont="1" applyBorder="1" applyAlignment="1">
      <alignment horizontal="right"/>
    </xf>
    <xf numFmtId="0" fontId="4" fillId="0" borderId="10" xfId="0" applyFont="1" applyBorder="1" applyAlignment="1">
      <alignment horizontal="right"/>
    </xf>
    <xf numFmtId="0" fontId="4" fillId="0" borderId="21" xfId="0" applyFont="1" applyFill="1" applyBorder="1" applyAlignment="1">
      <alignment horizontal="right"/>
    </xf>
    <xf numFmtId="0" fontId="4" fillId="0" borderId="22" xfId="0" applyFont="1" applyFill="1" applyBorder="1" applyAlignment="1">
      <alignment horizontal="right"/>
    </xf>
    <xf numFmtId="0" fontId="4" fillId="0" borderId="9" xfId="0" applyFont="1" applyFill="1" applyBorder="1" applyAlignment="1">
      <alignment horizontal="right"/>
    </xf>
    <xf numFmtId="0" fontId="4" fillId="0" borderId="10" xfId="0" applyFont="1" applyFill="1" applyBorder="1" applyAlignment="1">
      <alignment horizontal="right"/>
    </xf>
    <xf numFmtId="0" fontId="4" fillId="2" borderId="9" xfId="0" applyFont="1" applyFill="1" applyBorder="1" applyAlignment="1">
      <alignment horizontal="right"/>
    </xf>
    <xf numFmtId="0" fontId="4" fillId="2" borderId="22" xfId="0" applyFont="1" applyFill="1" applyBorder="1" applyAlignment="1">
      <alignment horizontal="right"/>
    </xf>
    <xf numFmtId="0" fontId="4" fillId="2" borderId="10" xfId="0" applyFont="1" applyFill="1" applyBorder="1" applyAlignment="1">
      <alignment horizontal="right"/>
    </xf>
    <xf numFmtId="0" fontId="4" fillId="2" borderId="21" xfId="0" applyFont="1" applyFill="1" applyBorder="1" applyAlignment="1">
      <alignment horizontal="right"/>
    </xf>
    <xf numFmtId="3" fontId="3" fillId="0" borderId="104" xfId="0" applyNumberFormat="1" applyFont="1" applyBorder="1"/>
    <xf numFmtId="3" fontId="3" fillId="0" borderId="73" xfId="0" applyNumberFormat="1" applyFont="1" applyBorder="1"/>
    <xf numFmtId="1" fontId="4" fillId="0" borderId="40" xfId="0" applyNumberFormat="1" applyFont="1" applyBorder="1"/>
    <xf numFmtId="0" fontId="3" fillId="0" borderId="25" xfId="0" applyFont="1" applyBorder="1" applyAlignment="1">
      <alignment horizontal="center"/>
    </xf>
    <xf numFmtId="0" fontId="4" fillId="0" borderId="0" xfId="0" applyFont="1" applyFill="1" applyAlignment="1">
      <alignment horizontal="centerContinuous"/>
    </xf>
    <xf numFmtId="164" fontId="13" fillId="0" borderId="25" xfId="0" applyNumberFormat="1" applyFont="1" applyFill="1" applyBorder="1"/>
    <xf numFmtId="164" fontId="13" fillId="0" borderId="28" xfId="0" applyNumberFormat="1" applyFont="1" applyFill="1" applyBorder="1"/>
    <xf numFmtId="0" fontId="4" fillId="0" borderId="62" xfId="0" applyFont="1" applyFill="1" applyBorder="1" applyAlignment="1">
      <alignment horizontal="center"/>
    </xf>
    <xf numFmtId="169" fontId="13" fillId="0" borderId="94" xfId="0" applyNumberFormat="1" applyFont="1" applyFill="1" applyBorder="1" applyAlignment="1" applyProtection="1"/>
    <xf numFmtId="1" fontId="4" fillId="0" borderId="64" xfId="0" applyNumberFormat="1" applyFont="1" applyFill="1" applyBorder="1" applyAlignment="1">
      <alignment horizontal="center"/>
    </xf>
    <xf numFmtId="0" fontId="3" fillId="0" borderId="119" xfId="0" applyFont="1" applyFill="1" applyBorder="1" applyAlignment="1">
      <alignment horizontal="center"/>
    </xf>
    <xf numFmtId="0" fontId="5" fillId="0" borderId="32" xfId="0" applyFont="1" applyFill="1" applyBorder="1" applyAlignment="1">
      <alignment horizontal="left"/>
    </xf>
    <xf numFmtId="0" fontId="4" fillId="2" borderId="9" xfId="0" applyFont="1" applyFill="1" applyBorder="1"/>
    <xf numFmtId="0" fontId="4" fillId="2" borderId="10" xfId="0" applyFont="1" applyFill="1" applyBorder="1"/>
    <xf numFmtId="0" fontId="4" fillId="2" borderId="21" xfId="0" applyFont="1" applyFill="1" applyBorder="1"/>
    <xf numFmtId="0" fontId="4" fillId="2" borderId="22" xfId="0" applyFont="1" applyFill="1" applyBorder="1"/>
    <xf numFmtId="0" fontId="3" fillId="0" borderId="70" xfId="0" applyFont="1" applyBorder="1" applyAlignment="1">
      <alignment horizontal="center"/>
    </xf>
    <xf numFmtId="0" fontId="3" fillId="0" borderId="93" xfId="0" applyFont="1" applyBorder="1" applyAlignment="1">
      <alignment horizontal="center"/>
    </xf>
    <xf numFmtId="0" fontId="4" fillId="0" borderId="66" xfId="0" applyFont="1" applyBorder="1"/>
    <xf numFmtId="0" fontId="4" fillId="2" borderId="26" xfId="0" applyNumberFormat="1" applyFont="1" applyFill="1" applyBorder="1"/>
    <xf numFmtId="164" fontId="4" fillId="0" borderId="46" xfId="0" applyNumberFormat="1" applyFont="1" applyFill="1" applyBorder="1"/>
    <xf numFmtId="164" fontId="4" fillId="2" borderId="27" xfId="0" applyNumberFormat="1" applyFont="1" applyFill="1" applyBorder="1"/>
    <xf numFmtId="166" fontId="4" fillId="0" borderId="25" xfId="14" applyNumberFormat="1" applyFont="1" applyBorder="1"/>
    <xf numFmtId="166" fontId="4" fillId="0" borderId="26" xfId="14" applyNumberFormat="1" applyFont="1" applyBorder="1"/>
    <xf numFmtId="166" fontId="4" fillId="0" borderId="28" xfId="14" applyNumberFormat="1" applyFont="1" applyBorder="1"/>
    <xf numFmtId="166" fontId="4" fillId="0" borderId="55" xfId="14" applyNumberFormat="1" applyFont="1" applyFill="1" applyBorder="1"/>
    <xf numFmtId="166" fontId="4" fillId="0" borderId="38" xfId="14" applyNumberFormat="1" applyFont="1" applyFill="1" applyBorder="1"/>
    <xf numFmtId="166" fontId="4" fillId="0" borderId="65" xfId="14" applyNumberFormat="1" applyFont="1" applyFill="1" applyBorder="1"/>
    <xf numFmtId="0" fontId="4" fillId="0" borderId="38" xfId="0" applyNumberFormat="1" applyFont="1" applyFill="1" applyBorder="1" applyAlignment="1">
      <alignment horizontal="center"/>
    </xf>
    <xf numFmtId="0" fontId="4" fillId="0" borderId="65" xfId="0" applyNumberFormat="1" applyFont="1" applyFill="1" applyBorder="1" applyAlignment="1">
      <alignment horizontal="center"/>
    </xf>
    <xf numFmtId="0" fontId="4" fillId="0" borderId="94" xfId="0" applyFont="1" applyBorder="1" applyAlignment="1">
      <alignment horizontal="center"/>
    </xf>
    <xf numFmtId="169" fontId="13" fillId="0" borderId="66" xfId="0" applyNumberFormat="1" applyFont="1" applyFill="1" applyBorder="1"/>
    <xf numFmtId="164" fontId="13" fillId="0" borderId="58" xfId="4" applyNumberFormat="1" applyFont="1" applyFill="1" applyBorder="1" applyAlignment="1">
      <alignment horizontal="right"/>
    </xf>
    <xf numFmtId="0" fontId="4" fillId="2" borderId="26" xfId="0" applyNumberFormat="1" applyFont="1" applyFill="1" applyBorder="1" applyAlignment="1">
      <alignment horizontal="right"/>
    </xf>
    <xf numFmtId="164" fontId="4" fillId="0" borderId="46" xfId="0" applyNumberFormat="1" applyFont="1" applyFill="1" applyBorder="1" applyAlignment="1">
      <alignment horizontal="right"/>
    </xf>
    <xf numFmtId="164" fontId="4" fillId="2" borderId="27" xfId="0" applyNumberFormat="1" applyFont="1" applyFill="1" applyBorder="1" applyAlignment="1">
      <alignment horizontal="right"/>
    </xf>
    <xf numFmtId="0" fontId="4" fillId="2" borderId="7" xfId="0" applyFont="1" applyFill="1" applyBorder="1" applyAlignment="1"/>
    <xf numFmtId="0" fontId="4" fillId="2" borderId="24" xfId="0" applyFont="1" applyFill="1" applyBorder="1" applyAlignment="1"/>
    <xf numFmtId="3" fontId="4" fillId="0" borderId="0" xfId="0" applyNumberFormat="1" applyFont="1" applyFill="1" applyBorder="1"/>
    <xf numFmtId="164" fontId="4" fillId="0" borderId="1" xfId="0" applyNumberFormat="1" applyFont="1" applyFill="1" applyBorder="1"/>
    <xf numFmtId="0" fontId="0" fillId="0" borderId="0" xfId="0" applyAlignment="1">
      <alignment horizontal="centerContinuous"/>
    </xf>
    <xf numFmtId="3" fontId="4" fillId="0" borderId="6" xfId="0" applyNumberFormat="1" applyFont="1" applyFill="1" applyBorder="1" applyAlignment="1">
      <alignment horizontal="right"/>
    </xf>
    <xf numFmtId="3" fontId="4" fillId="0" borderId="19" xfId="1" applyNumberFormat="1" applyFont="1" applyFill="1" applyBorder="1" applyAlignment="1">
      <alignment horizontal="center"/>
    </xf>
    <xf numFmtId="0" fontId="4" fillId="0" borderId="46" xfId="0" applyFont="1" applyFill="1" applyBorder="1"/>
    <xf numFmtId="0" fontId="3" fillId="0" borderId="27" xfId="0" applyFont="1" applyFill="1" applyBorder="1" applyAlignment="1">
      <alignment horizontal="right"/>
    </xf>
    <xf numFmtId="3" fontId="4" fillId="0" borderId="56" xfId="0" applyNumberFormat="1" applyFont="1" applyBorder="1" applyAlignment="1">
      <alignment horizontal="center"/>
    </xf>
    <xf numFmtId="0" fontId="4" fillId="2" borderId="7" xfId="0" applyFont="1" applyFill="1" applyBorder="1" applyAlignment="1">
      <alignment horizontal="right"/>
    </xf>
    <xf numFmtId="4" fontId="4" fillId="2" borderId="24" xfId="0" applyNumberFormat="1" applyFont="1" applyFill="1" applyBorder="1" applyAlignment="1">
      <alignment horizontal="center"/>
    </xf>
    <xf numFmtId="0" fontId="4" fillId="2" borderId="23" xfId="0" applyFont="1" applyFill="1" applyBorder="1" applyAlignment="1">
      <alignment horizontal="right"/>
    </xf>
    <xf numFmtId="0" fontId="4" fillId="2" borderId="24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171" fontId="4" fillId="0" borderId="94" xfId="0" applyNumberFormat="1" applyFont="1" applyBorder="1" applyAlignment="1">
      <alignment horizontal="center"/>
    </xf>
    <xf numFmtId="0" fontId="3" fillId="0" borderId="28" xfId="0" applyFont="1" applyBorder="1"/>
    <xf numFmtId="3" fontId="3" fillId="0" borderId="28" xfId="0" applyNumberFormat="1" applyFont="1" applyBorder="1"/>
    <xf numFmtId="0" fontId="3" fillId="0" borderId="120" xfId="12" applyFont="1" applyBorder="1"/>
    <xf numFmtId="0" fontId="4" fillId="0" borderId="106" xfId="12" applyFont="1" applyBorder="1"/>
    <xf numFmtId="0" fontId="4" fillId="0" borderId="107" xfId="12" applyFont="1" applyBorder="1"/>
    <xf numFmtId="0" fontId="4" fillId="0" borderId="103" xfId="12" applyFont="1" applyBorder="1"/>
    <xf numFmtId="0" fontId="4" fillId="0" borderId="121" xfId="0" applyFont="1" applyBorder="1"/>
    <xf numFmtId="0" fontId="3" fillId="0" borderId="121" xfId="0" applyFont="1" applyBorder="1"/>
    <xf numFmtId="0" fontId="12" fillId="0" borderId="33" xfId="0" applyFont="1" applyBorder="1" applyAlignment="1">
      <alignment horizontal="left" indent="1"/>
    </xf>
    <xf numFmtId="0" fontId="4" fillId="0" borderId="33" xfId="0" applyFont="1" applyBorder="1" applyAlignment="1">
      <alignment horizontal="left" indent="1"/>
    </xf>
    <xf numFmtId="0" fontId="4" fillId="0" borderId="33" xfId="0" applyFont="1" applyBorder="1" applyAlignment="1">
      <alignment horizontal="left" wrapText="1" indent="1"/>
    </xf>
    <xf numFmtId="0" fontId="3" fillId="0" borderId="33" xfId="0" applyFont="1" applyBorder="1" applyAlignment="1">
      <alignment horizontal="left" indent="1"/>
    </xf>
    <xf numFmtId="0" fontId="3" fillId="0" borderId="122" xfId="0" applyFont="1" applyBorder="1" applyAlignment="1">
      <alignment horizontal="left" indent="1"/>
    </xf>
    <xf numFmtId="0" fontId="3" fillId="0" borderId="123" xfId="0" applyFont="1" applyBorder="1"/>
    <xf numFmtId="170" fontId="4" fillId="0" borderId="33" xfId="0" applyNumberFormat="1" applyFont="1" applyBorder="1"/>
    <xf numFmtId="170" fontId="4" fillId="0" borderId="122" xfId="0" applyNumberFormat="1" applyFont="1" applyBorder="1"/>
    <xf numFmtId="0" fontId="9" fillId="0" borderId="124" xfId="0" applyFont="1" applyBorder="1"/>
    <xf numFmtId="0" fontId="4" fillId="0" borderId="124" xfId="0" applyFont="1" applyBorder="1"/>
    <xf numFmtId="169" fontId="3" fillId="0" borderId="123" xfId="0" applyNumberFormat="1" applyFont="1" applyBorder="1" applyAlignment="1">
      <alignment horizontal="left"/>
    </xf>
    <xf numFmtId="0" fontId="4" fillId="0" borderId="32" xfId="0" applyFont="1" applyBorder="1"/>
    <xf numFmtId="0" fontId="3" fillId="0" borderId="124" xfId="0" applyFont="1" applyBorder="1"/>
    <xf numFmtId="0" fontId="3" fillId="0" borderId="30" xfId="0" applyFont="1" applyBorder="1" applyAlignment="1">
      <alignment horizontal="left" indent="1"/>
    </xf>
    <xf numFmtId="0" fontId="4" fillId="0" borderId="32" xfId="0" applyFont="1" applyBorder="1" applyAlignment="1">
      <alignment horizontal="left"/>
    </xf>
    <xf numFmtId="0" fontId="4" fillId="0" borderId="34" xfId="0" applyFont="1" applyBorder="1" applyAlignment="1">
      <alignment horizontal="left"/>
    </xf>
    <xf numFmtId="0" fontId="3" fillId="0" borderId="124" xfId="0" applyFont="1" applyBorder="1" applyAlignment="1">
      <alignment horizontal="center"/>
    </xf>
    <xf numFmtId="0" fontId="3" fillId="0" borderId="123" xfId="0" applyFont="1" applyBorder="1" applyAlignment="1">
      <alignment horizontal="left"/>
    </xf>
    <xf numFmtId="0" fontId="4" fillId="0" borderId="122" xfId="0" applyFont="1" applyBorder="1" applyAlignment="1">
      <alignment horizontal="right"/>
    </xf>
    <xf numFmtId="0" fontId="3" fillId="0" borderId="33" xfId="0" applyFont="1" applyBorder="1" applyAlignment="1">
      <alignment horizontal="left"/>
    </xf>
    <xf numFmtId="0" fontId="4" fillId="0" borderId="32" xfId="12" applyFont="1" applyBorder="1"/>
    <xf numFmtId="0" fontId="4" fillId="0" borderId="30" xfId="12" applyFont="1" applyBorder="1"/>
    <xf numFmtId="0" fontId="4" fillId="0" borderId="33" xfId="12" applyFont="1" applyBorder="1"/>
    <xf numFmtId="0" fontId="3" fillId="0" borderId="31" xfId="12" applyFont="1" applyBorder="1"/>
    <xf numFmtId="0" fontId="4" fillId="0" borderId="92" xfId="12" applyFont="1" applyBorder="1"/>
    <xf numFmtId="0" fontId="12" fillId="0" borderId="32" xfId="0" applyFont="1" applyBorder="1" applyAlignment="1">
      <alignment horizontal="left" indent="1"/>
    </xf>
    <xf numFmtId="0" fontId="4" fillId="0" borderId="32" xfId="0" applyFont="1" applyBorder="1" applyAlignment="1">
      <alignment horizontal="left" indent="1"/>
    </xf>
    <xf numFmtId="0" fontId="4" fillId="0" borderId="34" xfId="0" applyFont="1" applyBorder="1" applyAlignment="1">
      <alignment horizontal="left" indent="1"/>
    </xf>
    <xf numFmtId="0" fontId="5" fillId="0" borderId="33" xfId="0" applyFont="1" applyBorder="1" applyAlignment="1">
      <alignment horizontal="left"/>
    </xf>
    <xf numFmtId="0" fontId="3" fillId="2" borderId="63" xfId="12" quotePrefix="1" applyFont="1" applyFill="1" applyBorder="1" applyAlignment="1">
      <alignment horizontal="center"/>
    </xf>
    <xf numFmtId="2" fontId="4" fillId="2" borderId="63" xfId="12" applyNumberFormat="1" applyFont="1" applyFill="1" applyBorder="1" applyAlignment="1">
      <alignment horizontal="right"/>
    </xf>
    <xf numFmtId="0" fontId="4" fillId="2" borderId="63" xfId="12" applyFont="1" applyFill="1" applyBorder="1" applyAlignment="1">
      <alignment horizontal="right"/>
    </xf>
    <xf numFmtId="171" fontId="4" fillId="2" borderId="63" xfId="12" applyNumberFormat="1" applyFont="1" applyFill="1" applyBorder="1" applyAlignment="1">
      <alignment horizontal="right"/>
    </xf>
    <xf numFmtId="171" fontId="4" fillId="2" borderId="80" xfId="12" applyNumberFormat="1" applyFont="1" applyFill="1" applyBorder="1" applyAlignment="1">
      <alignment horizontal="right"/>
    </xf>
    <xf numFmtId="166" fontId="4" fillId="0" borderId="18" xfId="0" applyNumberFormat="1" applyFont="1" applyBorder="1" applyAlignment="1">
      <alignment horizontal="right"/>
    </xf>
    <xf numFmtId="3" fontId="4" fillId="0" borderId="23" xfId="1" applyNumberFormat="1" applyFont="1" applyBorder="1" applyAlignment="1">
      <alignment horizontal="right"/>
    </xf>
    <xf numFmtId="3" fontId="4" fillId="0" borderId="63" xfId="1" applyNumberFormat="1" applyFont="1" applyFill="1" applyBorder="1" applyAlignment="1">
      <alignment horizontal="right"/>
    </xf>
    <xf numFmtId="3" fontId="4" fillId="0" borderId="63" xfId="1" applyNumberFormat="1" applyFont="1" applyBorder="1" applyAlignment="1">
      <alignment horizontal="center"/>
    </xf>
    <xf numFmtId="3" fontId="4" fillId="0" borderId="80" xfId="1" applyNumberFormat="1" applyFont="1" applyFill="1" applyBorder="1" applyAlignment="1">
      <alignment horizontal="right"/>
    </xf>
    <xf numFmtId="1" fontId="4" fillId="0" borderId="56" xfId="0" applyNumberFormat="1" applyFont="1" applyBorder="1" applyAlignment="1">
      <alignment horizontal="center"/>
    </xf>
    <xf numFmtId="1" fontId="4" fillId="0" borderId="64" xfId="0" applyNumberFormat="1" applyFont="1" applyBorder="1" applyAlignment="1">
      <alignment horizontal="center"/>
    </xf>
    <xf numFmtId="1" fontId="4" fillId="0" borderId="61" xfId="0" applyNumberFormat="1" applyFont="1" applyBorder="1" applyAlignment="1">
      <alignment horizontal="center"/>
    </xf>
    <xf numFmtId="0" fontId="3" fillId="0" borderId="61" xfId="0" applyFont="1" applyBorder="1"/>
    <xf numFmtId="169" fontId="4" fillId="0" borderId="65" xfId="1" applyNumberFormat="1" applyFont="1" applyFill="1" applyBorder="1" applyAlignment="1">
      <alignment horizontal="right"/>
    </xf>
    <xf numFmtId="169" fontId="4" fillId="0" borderId="58" xfId="0" applyNumberFormat="1" applyFont="1" applyBorder="1" applyAlignment="1">
      <alignment horizontal="right"/>
    </xf>
    <xf numFmtId="164" fontId="4" fillId="0" borderId="73" xfId="0" applyNumberFormat="1" applyFont="1" applyFill="1" applyBorder="1" applyAlignment="1">
      <alignment horizontal="center"/>
    </xf>
    <xf numFmtId="3" fontId="4" fillId="0" borderId="73" xfId="1" applyNumberFormat="1" applyFont="1" applyFill="1" applyBorder="1" applyAlignment="1">
      <alignment horizontal="right"/>
    </xf>
    <xf numFmtId="3" fontId="4" fillId="0" borderId="73" xfId="0" applyNumberFormat="1" applyFont="1" applyFill="1" applyBorder="1"/>
    <xf numFmtId="166" fontId="4" fillId="0" borderId="73" xfId="12" applyNumberFormat="1" applyFont="1" applyBorder="1"/>
    <xf numFmtId="170" fontId="4" fillId="0" borderId="73" xfId="0" applyNumberFormat="1" applyFont="1" applyBorder="1"/>
    <xf numFmtId="0" fontId="4" fillId="0" borderId="66" xfId="0" applyFont="1" applyFill="1" applyBorder="1"/>
    <xf numFmtId="166" fontId="4" fillId="0" borderId="73" xfId="13" applyNumberFormat="1" applyFont="1" applyFill="1" applyBorder="1" applyAlignment="1">
      <alignment horizontal="right"/>
    </xf>
    <xf numFmtId="166" fontId="3" fillId="0" borderId="73" xfId="13" applyNumberFormat="1" applyFont="1" applyFill="1" applyBorder="1" applyAlignment="1">
      <alignment horizontal="right"/>
    </xf>
    <xf numFmtId="169" fontId="4" fillId="2" borderId="38" xfId="1" applyNumberFormat="1" applyFont="1" applyFill="1" applyBorder="1" applyAlignment="1">
      <alignment horizontal="right"/>
    </xf>
    <xf numFmtId="169" fontId="4" fillId="2" borderId="62" xfId="1" applyNumberFormat="1" applyFont="1" applyFill="1" applyBorder="1" applyAlignment="1">
      <alignment horizontal="right"/>
    </xf>
    <xf numFmtId="0" fontId="4" fillId="2" borderId="38" xfId="0" applyNumberFormat="1" applyFont="1" applyFill="1" applyBorder="1"/>
    <xf numFmtId="172" fontId="4" fillId="2" borderId="62" xfId="0" applyNumberFormat="1" applyFont="1" applyFill="1" applyBorder="1" applyAlignment="1">
      <alignment horizontal="center"/>
    </xf>
    <xf numFmtId="3" fontId="3" fillId="0" borderId="73" xfId="0" applyNumberFormat="1" applyFont="1" applyFill="1" applyBorder="1" applyAlignment="1">
      <alignment horizontal="right"/>
    </xf>
    <xf numFmtId="0" fontId="4" fillId="2" borderId="62" xfId="0" applyFont="1" applyFill="1" applyBorder="1" applyAlignment="1">
      <alignment horizontal="center"/>
    </xf>
    <xf numFmtId="0" fontId="3" fillId="0" borderId="73" xfId="0" applyFont="1" applyFill="1" applyBorder="1"/>
    <xf numFmtId="169" fontId="4" fillId="0" borderId="73" xfId="1" applyNumberFormat="1" applyFont="1" applyFill="1" applyBorder="1"/>
    <xf numFmtId="169" fontId="3" fillId="0" borderId="73" xfId="1" applyNumberFormat="1" applyFont="1" applyFill="1" applyBorder="1"/>
    <xf numFmtId="0" fontId="4" fillId="0" borderId="73" xfId="0" applyFont="1" applyFill="1" applyBorder="1" applyAlignment="1">
      <alignment horizontal="right"/>
    </xf>
    <xf numFmtId="0" fontId="4" fillId="0" borderId="73" xfId="0" applyNumberFormat="1" applyFont="1" applyFill="1" applyBorder="1"/>
    <xf numFmtId="169" fontId="13" fillId="0" borderId="73" xfId="0" applyNumberFormat="1" applyFont="1" applyFill="1" applyBorder="1"/>
    <xf numFmtId="0" fontId="4" fillId="3" borderId="21" xfId="0" applyFont="1" applyFill="1" applyBorder="1" applyAlignment="1">
      <alignment horizontal="right"/>
    </xf>
    <xf numFmtId="0" fontId="4" fillId="3" borderId="22" xfId="0" applyFont="1" applyFill="1" applyBorder="1" applyAlignment="1">
      <alignment horizontal="right"/>
    </xf>
    <xf numFmtId="0" fontId="4" fillId="3" borderId="9" xfId="0" applyFont="1" applyFill="1" applyBorder="1" applyAlignment="1">
      <alignment horizontal="right"/>
    </xf>
    <xf numFmtId="0" fontId="4" fillId="3" borderId="10" xfId="0" applyFont="1" applyFill="1" applyBorder="1" applyAlignment="1">
      <alignment horizontal="right"/>
    </xf>
    <xf numFmtId="0" fontId="4" fillId="0" borderId="19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171" fontId="0" fillId="0" borderId="66" xfId="0" applyNumberFormat="1" applyBorder="1" applyAlignment="1"/>
    <xf numFmtId="0" fontId="0" fillId="0" borderId="0" xfId="0" applyBorder="1" applyAlignment="1">
      <alignment horizontal="center"/>
    </xf>
    <xf numFmtId="171" fontId="4" fillId="0" borderId="0" xfId="0" applyNumberFormat="1" applyFont="1"/>
    <xf numFmtId="171" fontId="3" fillId="2" borderId="0" xfId="12" quotePrefix="1" applyNumberFormat="1" applyFont="1" applyFill="1" applyBorder="1" applyAlignment="1">
      <alignment horizontal="center"/>
    </xf>
    <xf numFmtId="171" fontId="0" fillId="2" borderId="99" xfId="0" applyNumberFormat="1" applyFill="1" applyBorder="1" applyAlignment="1"/>
    <xf numFmtId="171" fontId="3" fillId="2" borderId="0" xfId="12" applyNumberFormat="1" applyFont="1" applyFill="1" applyBorder="1" applyAlignment="1">
      <alignment horizontal="center"/>
    </xf>
    <xf numFmtId="171" fontId="0" fillId="2" borderId="99" xfId="0" applyNumberFormat="1" applyFill="1" applyBorder="1" applyAlignment="1">
      <alignment horizontal="center"/>
    </xf>
    <xf numFmtId="171" fontId="4" fillId="2" borderId="99" xfId="0" applyNumberFormat="1" applyFont="1" applyFill="1" applyBorder="1"/>
    <xf numFmtId="171" fontId="4" fillId="0" borderId="0" xfId="0" applyNumberFormat="1" applyFont="1" applyFill="1"/>
    <xf numFmtId="171" fontId="4" fillId="0" borderId="99" xfId="0" applyNumberFormat="1" applyFont="1" applyFill="1" applyBorder="1"/>
    <xf numFmtId="171" fontId="4" fillId="0" borderId="0" xfId="0" applyNumberFormat="1" applyFont="1" applyBorder="1"/>
    <xf numFmtId="171" fontId="4" fillId="2" borderId="0" xfId="0" applyNumberFormat="1" applyFont="1" applyFill="1" applyBorder="1"/>
    <xf numFmtId="171" fontId="4" fillId="2" borderId="66" xfId="12" applyNumberFormat="1" applyFont="1" applyFill="1" applyBorder="1" applyAlignment="1"/>
    <xf numFmtId="171" fontId="4" fillId="0" borderId="63" xfId="0" applyNumberFormat="1" applyFont="1" applyFill="1" applyBorder="1"/>
    <xf numFmtId="171" fontId="4" fillId="0" borderId="66" xfId="0" applyNumberFormat="1" applyFont="1" applyFill="1" applyBorder="1"/>
    <xf numFmtId="1" fontId="4" fillId="2" borderId="0" xfId="0" applyNumberFormat="1" applyFont="1" applyFill="1" applyBorder="1"/>
    <xf numFmtId="1" fontId="4" fillId="2" borderId="66" xfId="12" applyNumberFormat="1" applyFont="1" applyFill="1" applyBorder="1" applyAlignment="1"/>
    <xf numFmtId="1" fontId="4" fillId="2" borderId="66" xfId="0" applyNumberFormat="1" applyFont="1" applyFill="1" applyBorder="1"/>
    <xf numFmtId="1" fontId="4" fillId="0" borderId="63" xfId="0" applyNumberFormat="1" applyFont="1" applyFill="1" applyBorder="1"/>
    <xf numFmtId="3" fontId="4" fillId="0" borderId="66" xfId="0" applyNumberFormat="1" applyFont="1" applyFill="1" applyBorder="1"/>
    <xf numFmtId="171" fontId="4" fillId="0" borderId="0" xfId="0" applyNumberFormat="1" applyFont="1" applyFill="1" applyBorder="1"/>
    <xf numFmtId="1" fontId="4" fillId="0" borderId="66" xfId="0" applyNumberFormat="1" applyFont="1" applyFill="1" applyBorder="1"/>
    <xf numFmtId="171" fontId="4" fillId="0" borderId="8" xfId="0" applyNumberFormat="1" applyFont="1" applyFill="1" applyBorder="1"/>
    <xf numFmtId="1" fontId="4" fillId="0" borderId="94" xfId="0" applyNumberFormat="1" applyFont="1" applyFill="1" applyBorder="1"/>
    <xf numFmtId="0" fontId="10" fillId="0" borderId="0" xfId="0" applyFont="1"/>
    <xf numFmtId="0" fontId="0" fillId="0" borderId="63" xfId="0" applyBorder="1" applyAlignment="1">
      <alignment horizontal="center"/>
    </xf>
    <xf numFmtId="1" fontId="4" fillId="0" borderId="91" xfId="0" applyNumberFormat="1" applyFont="1" applyBorder="1"/>
    <xf numFmtId="166" fontId="4" fillId="0" borderId="28" xfId="14" applyNumberFormat="1" applyFont="1" applyFill="1" applyBorder="1"/>
    <xf numFmtId="166" fontId="4" fillId="0" borderId="58" xfId="14" applyNumberFormat="1" applyFont="1" applyBorder="1"/>
    <xf numFmtId="166" fontId="4" fillId="0" borderId="58" xfId="14" applyNumberFormat="1" applyFont="1" applyFill="1" applyBorder="1"/>
    <xf numFmtId="169" fontId="4" fillId="0" borderId="27" xfId="0" applyNumberFormat="1" applyFont="1" applyFill="1" applyBorder="1"/>
    <xf numFmtId="5" fontId="4" fillId="0" borderId="26" xfId="0" applyNumberFormat="1" applyFont="1" applyFill="1" applyBorder="1" applyAlignment="1"/>
    <xf numFmtId="5" fontId="4" fillId="0" borderId="27" xfId="0" applyNumberFormat="1" applyFont="1" applyFill="1" applyBorder="1" applyAlignment="1"/>
    <xf numFmtId="5" fontId="4" fillId="0" borderId="38" xfId="0" applyNumberFormat="1" applyFont="1" applyFill="1" applyBorder="1" applyAlignment="1"/>
    <xf numFmtId="0" fontId="3" fillId="0" borderId="70" xfId="0" applyFont="1" applyFill="1" applyBorder="1" applyAlignment="1">
      <alignment horizontal="center"/>
    </xf>
    <xf numFmtId="0" fontId="4" fillId="2" borderId="64" xfId="0" applyFont="1" applyFill="1" applyBorder="1" applyAlignment="1">
      <alignment horizontal="right"/>
    </xf>
    <xf numFmtId="166" fontId="4" fillId="2" borderId="19" xfId="13" applyNumberFormat="1" applyFont="1" applyFill="1" applyBorder="1" applyAlignment="1">
      <alignment horizontal="right"/>
    </xf>
    <xf numFmtId="0" fontId="4" fillId="2" borderId="46" xfId="0" applyFont="1" applyFill="1" applyBorder="1" applyAlignment="1">
      <alignment horizontal="right"/>
    </xf>
    <xf numFmtId="166" fontId="4" fillId="2" borderId="3" xfId="13" applyNumberFormat="1" applyFont="1" applyFill="1" applyBorder="1" applyAlignment="1">
      <alignment horizontal="right"/>
    </xf>
    <xf numFmtId="167" fontId="4" fillId="0" borderId="73" xfId="0" applyNumberFormat="1" applyFont="1" applyBorder="1" applyAlignment="1">
      <alignment horizontal="center"/>
    </xf>
    <xf numFmtId="167" fontId="4" fillId="0" borderId="102" xfId="0" applyNumberFormat="1" applyFont="1" applyBorder="1" applyAlignment="1">
      <alignment horizontal="center"/>
    </xf>
    <xf numFmtId="0" fontId="3" fillId="0" borderId="25" xfId="0" applyFont="1" applyFill="1" applyBorder="1" applyAlignment="1">
      <alignment horizontal="center"/>
    </xf>
    <xf numFmtId="0" fontId="3" fillId="0" borderId="93" xfId="0" applyFont="1" applyFill="1" applyBorder="1" applyAlignment="1">
      <alignment horizontal="center"/>
    </xf>
    <xf numFmtId="171" fontId="4" fillId="0" borderId="94" xfId="0" applyNumberFormat="1" applyFont="1" applyFill="1" applyBorder="1" applyAlignment="1">
      <alignment horizontal="center"/>
    </xf>
    <xf numFmtId="0" fontId="4" fillId="0" borderId="94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right"/>
    </xf>
    <xf numFmtId="0" fontId="4" fillId="2" borderId="6" xfId="0" applyFont="1" applyFill="1" applyBorder="1" applyAlignment="1">
      <alignment horizontal="right"/>
    </xf>
    <xf numFmtId="5" fontId="4" fillId="0" borderId="62" xfId="0" applyNumberFormat="1" applyFont="1" applyFill="1" applyBorder="1" applyAlignment="1"/>
    <xf numFmtId="171" fontId="3" fillId="0" borderId="0" xfId="12" applyNumberFormat="1" applyFont="1" applyFill="1" applyBorder="1" applyAlignment="1">
      <alignment horizontal="center"/>
    </xf>
    <xf numFmtId="171" fontId="4" fillId="0" borderId="66" xfId="0" applyNumberFormat="1" applyFont="1" applyFill="1" applyBorder="1" applyAlignment="1">
      <alignment horizontal="center"/>
    </xf>
    <xf numFmtId="166" fontId="3" fillId="0" borderId="26" xfId="0" applyNumberFormat="1" applyFont="1" applyFill="1" applyBorder="1" applyAlignment="1">
      <alignment horizontal="right"/>
    </xf>
    <xf numFmtId="3" fontId="3" fillId="0" borderId="26" xfId="0" applyNumberFormat="1" applyFont="1" applyBorder="1" applyAlignment="1">
      <alignment horizontal="right"/>
    </xf>
    <xf numFmtId="0" fontId="4" fillId="0" borderId="28" xfId="0" applyFont="1" applyBorder="1" applyAlignment="1">
      <alignment horizontal="right"/>
    </xf>
    <xf numFmtId="0" fontId="4" fillId="0" borderId="123" xfId="0" applyFont="1" applyBorder="1"/>
    <xf numFmtId="2" fontId="4" fillId="0" borderId="66" xfId="0" applyNumberFormat="1" applyFont="1" applyFill="1" applyBorder="1" applyAlignment="1">
      <alignment horizontal="center"/>
    </xf>
    <xf numFmtId="2" fontId="4" fillId="0" borderId="94" xfId="0" applyNumberFormat="1" applyFont="1" applyFill="1" applyBorder="1" applyAlignment="1">
      <alignment horizontal="center"/>
    </xf>
    <xf numFmtId="2" fontId="4" fillId="0" borderId="66" xfId="0" applyNumberFormat="1" applyFont="1" applyBorder="1" applyAlignment="1">
      <alignment horizontal="center"/>
    </xf>
    <xf numFmtId="2" fontId="4" fillId="0" borderId="94" xfId="0" applyNumberFormat="1" applyFont="1" applyBorder="1" applyAlignment="1">
      <alignment horizontal="center"/>
    </xf>
    <xf numFmtId="1" fontId="4" fillId="0" borderId="73" xfId="0" applyNumberFormat="1" applyFont="1" applyFill="1" applyBorder="1"/>
    <xf numFmtId="0" fontId="4" fillId="0" borderId="0" xfId="0" applyFont="1" applyAlignment="1">
      <alignment horizontal="center"/>
    </xf>
    <xf numFmtId="1" fontId="4" fillId="0" borderId="0" xfId="0" applyNumberFormat="1" applyFont="1" applyAlignment="1">
      <alignment horizontal="center"/>
    </xf>
    <xf numFmtId="1" fontId="4" fillId="0" borderId="108" xfId="0" applyNumberFormat="1" applyFont="1" applyBorder="1" applyAlignment="1">
      <alignment horizontal="center"/>
    </xf>
    <xf numFmtId="0" fontId="4" fillId="4" borderId="21" xfId="0" applyFont="1" applyFill="1" applyBorder="1"/>
    <xf numFmtId="0" fontId="4" fillId="4" borderId="10" xfId="0" applyFont="1" applyFill="1" applyBorder="1"/>
    <xf numFmtId="0" fontId="4" fillId="4" borderId="22" xfId="0" applyFont="1" applyFill="1" applyBorder="1"/>
    <xf numFmtId="0" fontId="4" fillId="4" borderId="21" xfId="0" applyFont="1" applyFill="1" applyBorder="1" applyAlignment="1">
      <alignment horizontal="right"/>
    </xf>
    <xf numFmtId="0" fontId="4" fillId="4" borderId="10" xfId="0" applyFont="1" applyFill="1" applyBorder="1" applyAlignment="1">
      <alignment horizontal="right"/>
    </xf>
    <xf numFmtId="0" fontId="4" fillId="4" borderId="22" xfId="0" applyFont="1" applyFill="1" applyBorder="1" applyAlignment="1">
      <alignment horizontal="right"/>
    </xf>
    <xf numFmtId="0" fontId="4" fillId="4" borderId="23" xfId="0" applyFont="1" applyFill="1" applyBorder="1" applyAlignment="1">
      <alignment horizontal="right"/>
    </xf>
    <xf numFmtId="0" fontId="4" fillId="4" borderId="4" xfId="0" applyFont="1" applyFill="1" applyBorder="1" applyAlignment="1">
      <alignment horizontal="center"/>
    </xf>
    <xf numFmtId="0" fontId="4" fillId="4" borderId="24" xfId="0" applyFont="1" applyFill="1" applyBorder="1" applyAlignment="1">
      <alignment horizontal="center"/>
    </xf>
    <xf numFmtId="3" fontId="4" fillId="0" borderId="0" xfId="0" applyNumberFormat="1" applyFont="1"/>
    <xf numFmtId="166" fontId="0" fillId="0" borderId="58" xfId="0" applyNumberFormat="1" applyFill="1" applyBorder="1" applyAlignment="1"/>
    <xf numFmtId="166" fontId="4" fillId="0" borderId="57" xfId="12" applyNumberFormat="1" applyFont="1" applyFill="1" applyBorder="1" applyAlignment="1"/>
    <xf numFmtId="0" fontId="4" fillId="4" borderId="19" xfId="0" applyFont="1" applyFill="1" applyBorder="1" applyAlignment="1">
      <alignment horizontal="right"/>
    </xf>
    <xf numFmtId="0" fontId="4" fillId="4" borderId="22" xfId="0" applyFont="1" applyFill="1" applyBorder="1" applyAlignment="1">
      <alignment horizontal="center"/>
    </xf>
    <xf numFmtId="0" fontId="4" fillId="4" borderId="19" xfId="0" applyFont="1" applyFill="1" applyBorder="1"/>
    <xf numFmtId="0" fontId="4" fillId="4" borderId="19" xfId="0" applyFont="1" applyFill="1" applyBorder="1" applyAlignment="1">
      <alignment horizontal="center"/>
    </xf>
    <xf numFmtId="166" fontId="4" fillId="0" borderId="103" xfId="12" applyNumberFormat="1" applyFont="1" applyBorder="1" applyAlignment="1"/>
    <xf numFmtId="166" fontId="0" fillId="0" borderId="105" xfId="0" applyNumberFormat="1" applyBorder="1" applyAlignment="1"/>
    <xf numFmtId="9" fontId="4" fillId="0" borderId="104" xfId="0" applyNumberFormat="1" applyFont="1" applyBorder="1"/>
    <xf numFmtId="0" fontId="4" fillId="4" borderId="9" xfId="0" applyFont="1" applyFill="1" applyBorder="1" applyAlignment="1">
      <alignment horizontal="right"/>
    </xf>
    <xf numFmtId="1" fontId="4" fillId="4" borderId="73" xfId="0" applyNumberFormat="1" applyFont="1" applyFill="1" applyBorder="1" applyAlignment="1">
      <alignment horizontal="center"/>
    </xf>
    <xf numFmtId="1" fontId="4" fillId="4" borderId="73" xfId="0" applyNumberFormat="1" applyFont="1" applyFill="1" applyBorder="1"/>
    <xf numFmtId="1" fontId="4" fillId="4" borderId="102" xfId="0" applyNumberFormat="1" applyFont="1" applyFill="1" applyBorder="1" applyAlignment="1">
      <alignment horizontal="center"/>
    </xf>
    <xf numFmtId="169" fontId="4" fillId="4" borderId="38" xfId="1" applyNumberFormat="1" applyFont="1" applyFill="1" applyBorder="1" applyAlignment="1">
      <alignment horizontal="right"/>
    </xf>
    <xf numFmtId="169" fontId="4" fillId="4" borderId="62" xfId="1" applyNumberFormat="1" applyFont="1" applyFill="1" applyBorder="1" applyAlignment="1">
      <alignment horizontal="right"/>
    </xf>
    <xf numFmtId="0" fontId="4" fillId="4" borderId="26" xfId="0" applyNumberFormat="1" applyFont="1" applyFill="1" applyBorder="1"/>
    <xf numFmtId="0" fontId="4" fillId="4" borderId="38" xfId="0" applyNumberFormat="1" applyFont="1" applyFill="1" applyBorder="1"/>
    <xf numFmtId="164" fontId="4" fillId="4" borderId="46" xfId="0" applyNumberFormat="1" applyFont="1" applyFill="1" applyBorder="1"/>
    <xf numFmtId="0" fontId="4" fillId="4" borderId="65" xfId="0" applyNumberFormat="1" applyFont="1" applyFill="1" applyBorder="1"/>
    <xf numFmtId="164" fontId="4" fillId="4" borderId="27" xfId="0" applyNumberFormat="1" applyFont="1" applyFill="1" applyBorder="1"/>
    <xf numFmtId="0" fontId="4" fillId="4" borderId="62" xfId="0" applyFont="1" applyFill="1" applyBorder="1" applyAlignment="1">
      <alignment horizontal="center"/>
    </xf>
    <xf numFmtId="169" fontId="13" fillId="4" borderId="55" xfId="0" applyNumberFormat="1" applyFont="1" applyFill="1" applyBorder="1"/>
    <xf numFmtId="169" fontId="13" fillId="4" borderId="94" xfId="0" applyNumberFormat="1" applyFont="1" applyFill="1" applyBorder="1" applyAlignment="1" applyProtection="1"/>
    <xf numFmtId="0" fontId="4" fillId="4" borderId="68" xfId="0" applyFont="1" applyFill="1" applyBorder="1"/>
    <xf numFmtId="0" fontId="4" fillId="4" borderId="24" xfId="0" applyFont="1" applyFill="1" applyBorder="1" applyAlignment="1"/>
    <xf numFmtId="169" fontId="4" fillId="4" borderId="38" xfId="0" applyNumberFormat="1" applyFont="1" applyFill="1" applyBorder="1"/>
    <xf numFmtId="169" fontId="13" fillId="4" borderId="66" xfId="0" applyNumberFormat="1" applyFont="1" applyFill="1" applyBorder="1"/>
    <xf numFmtId="164" fontId="13" fillId="4" borderId="58" xfId="4" applyNumberFormat="1" applyFont="1" applyFill="1" applyBorder="1" applyAlignment="1">
      <alignment horizontal="right"/>
    </xf>
    <xf numFmtId="0" fontId="4" fillId="4" borderId="24" xfId="0" applyFont="1" applyFill="1" applyBorder="1"/>
    <xf numFmtId="168" fontId="4" fillId="0" borderId="56" xfId="1" applyNumberFormat="1" applyFont="1" applyFill="1" applyBorder="1"/>
    <xf numFmtId="3" fontId="4" fillId="4" borderId="19" xfId="1" applyNumberFormat="1" applyFont="1" applyFill="1" applyBorder="1" applyAlignment="1">
      <alignment horizontal="right"/>
    </xf>
    <xf numFmtId="3" fontId="4" fillId="4" borderId="19" xfId="1" applyNumberFormat="1" applyFont="1" applyFill="1" applyBorder="1" applyAlignment="1">
      <alignment horizontal="center"/>
    </xf>
    <xf numFmtId="3" fontId="4" fillId="4" borderId="24" xfId="1" applyNumberFormat="1" applyFont="1" applyFill="1" applyBorder="1" applyAlignment="1">
      <alignment horizontal="right"/>
    </xf>
    <xf numFmtId="0" fontId="4" fillId="4" borderId="0" xfId="0" applyFont="1" applyFill="1"/>
    <xf numFmtId="0" fontId="4" fillId="4" borderId="66" xfId="0" applyFont="1" applyFill="1" applyBorder="1"/>
    <xf numFmtId="0" fontId="4" fillId="4" borderId="0" xfId="0" applyFont="1" applyFill="1" applyBorder="1"/>
    <xf numFmtId="0" fontId="4" fillId="4" borderId="8" xfId="0" applyFont="1" applyFill="1" applyBorder="1"/>
    <xf numFmtId="0" fontId="4" fillId="4" borderId="94" xfId="0" applyFont="1" applyFill="1" applyBorder="1"/>
    <xf numFmtId="169" fontId="4" fillId="4" borderId="38" xfId="0" applyNumberFormat="1" applyFont="1" applyFill="1" applyBorder="1" applyAlignment="1">
      <alignment horizontal="right"/>
    </xf>
    <xf numFmtId="169" fontId="4" fillId="4" borderId="65" xfId="0" applyNumberFormat="1" applyFont="1" applyFill="1" applyBorder="1" applyAlignment="1">
      <alignment horizontal="right"/>
    </xf>
    <xf numFmtId="3" fontId="4" fillId="4" borderId="25" xfId="0" applyNumberFormat="1" applyFont="1" applyFill="1" applyBorder="1" applyAlignment="1">
      <alignment horizontal="right"/>
    </xf>
    <xf numFmtId="1" fontId="4" fillId="4" borderId="25" xfId="0" applyNumberFormat="1" applyFont="1" applyFill="1" applyBorder="1" applyAlignment="1">
      <alignment horizontal="right"/>
    </xf>
    <xf numFmtId="164" fontId="4" fillId="4" borderId="55" xfId="0" applyNumberFormat="1" applyFont="1" applyFill="1" applyBorder="1" applyAlignment="1">
      <alignment horizontal="right"/>
    </xf>
    <xf numFmtId="3" fontId="4" fillId="4" borderId="27" xfId="1" applyNumberFormat="1" applyFont="1" applyFill="1" applyBorder="1" applyAlignment="1">
      <alignment horizontal="right"/>
    </xf>
    <xf numFmtId="164" fontId="4" fillId="4" borderId="62" xfId="0" applyNumberFormat="1" applyFont="1" applyFill="1" applyBorder="1" applyAlignment="1">
      <alignment horizontal="right"/>
    </xf>
    <xf numFmtId="0" fontId="4" fillId="4" borderId="25" xfId="0" applyNumberFormat="1" applyFont="1" applyFill="1" applyBorder="1" applyAlignment="1">
      <alignment horizontal="right"/>
    </xf>
    <xf numFmtId="0" fontId="4" fillId="4" borderId="55" xfId="0" applyNumberFormat="1" applyFont="1" applyFill="1" applyBorder="1" applyAlignment="1">
      <alignment horizontal="right"/>
    </xf>
    <xf numFmtId="164" fontId="4" fillId="4" borderId="46" xfId="0" applyNumberFormat="1" applyFont="1" applyFill="1" applyBorder="1" applyAlignment="1">
      <alignment horizontal="right"/>
    </xf>
    <xf numFmtId="0" fontId="4" fillId="4" borderId="65" xfId="0" applyNumberFormat="1" applyFont="1" applyFill="1" applyBorder="1" applyAlignment="1">
      <alignment horizontal="right"/>
    </xf>
    <xf numFmtId="164" fontId="4" fillId="4" borderId="27" xfId="0" applyNumberFormat="1" applyFont="1" applyFill="1" applyBorder="1" applyAlignment="1">
      <alignment horizontal="right"/>
    </xf>
    <xf numFmtId="172" fontId="4" fillId="4" borderId="62" xfId="0" applyNumberFormat="1" applyFont="1" applyFill="1" applyBorder="1" applyAlignment="1">
      <alignment horizontal="right"/>
    </xf>
    <xf numFmtId="169" fontId="4" fillId="4" borderId="58" xfId="0" applyNumberFormat="1" applyFont="1" applyFill="1" applyBorder="1" applyAlignment="1">
      <alignment horizontal="right"/>
    </xf>
    <xf numFmtId="3" fontId="4" fillId="0" borderId="56" xfId="0" applyNumberFormat="1" applyFont="1" applyFill="1" applyBorder="1" applyAlignment="1">
      <alignment horizontal="center"/>
    </xf>
    <xf numFmtId="171" fontId="4" fillId="4" borderId="0" xfId="0" applyNumberFormat="1" applyFont="1" applyFill="1"/>
    <xf numFmtId="171" fontId="4" fillId="4" borderId="66" xfId="0" applyNumberFormat="1" applyFont="1" applyFill="1" applyBorder="1"/>
    <xf numFmtId="171" fontId="4" fillId="4" borderId="0" xfId="0" applyNumberFormat="1" applyFont="1" applyFill="1" applyBorder="1"/>
    <xf numFmtId="1" fontId="4" fillId="4" borderId="0" xfId="0" applyNumberFormat="1" applyFont="1" applyFill="1" applyBorder="1"/>
    <xf numFmtId="1" fontId="4" fillId="4" borderId="66" xfId="0" applyNumberFormat="1" applyFont="1" applyFill="1" applyBorder="1"/>
    <xf numFmtId="171" fontId="4" fillId="4" borderId="80" xfId="0" applyNumberFormat="1" applyFont="1" applyFill="1" applyBorder="1"/>
    <xf numFmtId="171" fontId="4" fillId="4" borderId="94" xfId="0" applyNumberFormat="1" applyFont="1" applyFill="1" applyBorder="1"/>
    <xf numFmtId="169" fontId="13" fillId="4" borderId="58" xfId="0" applyNumberFormat="1" applyFont="1" applyFill="1" applyBorder="1" applyAlignment="1" applyProtection="1"/>
    <xf numFmtId="166" fontId="4" fillId="0" borderId="28" xfId="12" applyNumberFormat="1" applyFont="1" applyFill="1" applyBorder="1" applyAlignment="1"/>
    <xf numFmtId="0" fontId="4" fillId="0" borderId="128" xfId="0" applyFont="1" applyBorder="1"/>
    <xf numFmtId="0" fontId="3" fillId="0" borderId="39" xfId="0" applyFont="1" applyFill="1" applyBorder="1" applyAlignment="1">
      <alignment horizontal="center"/>
    </xf>
    <xf numFmtId="0" fontId="4" fillId="0" borderId="129" xfId="0" applyFont="1" applyFill="1" applyBorder="1"/>
    <xf numFmtId="166" fontId="4" fillId="0" borderId="104" xfId="14" applyNumberFormat="1" applyFont="1" applyFill="1" applyBorder="1"/>
    <xf numFmtId="166" fontId="4" fillId="0" borderId="109" xfId="14" applyNumberFormat="1" applyFont="1" applyFill="1" applyBorder="1"/>
    <xf numFmtId="166" fontId="0" fillId="0" borderId="105" xfId="0" applyNumberFormat="1" applyFill="1" applyBorder="1" applyAlignment="1"/>
    <xf numFmtId="0" fontId="4" fillId="0" borderId="104" xfId="0" applyFont="1" applyFill="1" applyBorder="1"/>
    <xf numFmtId="0" fontId="4" fillId="0" borderId="109" xfId="0" applyFont="1" applyFill="1" applyBorder="1"/>
    <xf numFmtId="168" fontId="4" fillId="0" borderId="104" xfId="1" applyNumberFormat="1" applyFont="1" applyFill="1" applyBorder="1"/>
    <xf numFmtId="168" fontId="4" fillId="0" borderId="109" xfId="1" applyNumberFormat="1" applyFont="1" applyFill="1" applyBorder="1"/>
    <xf numFmtId="168" fontId="3" fillId="0" borderId="109" xfId="1" applyNumberFormat="1" applyFont="1" applyFill="1" applyBorder="1"/>
    <xf numFmtId="0" fontId="4" fillId="0" borderId="72" xfId="0" applyFont="1" applyFill="1" applyBorder="1"/>
    <xf numFmtId="5" fontId="4" fillId="2" borderId="109" xfId="0" applyNumberFormat="1" applyFont="1" applyFill="1" applyBorder="1" applyAlignment="1"/>
    <xf numFmtId="5" fontId="4" fillId="2" borderId="113" xfId="0" applyNumberFormat="1" applyFont="1" applyFill="1" applyBorder="1" applyAlignment="1"/>
    <xf numFmtId="0" fontId="4" fillId="2" borderId="109" xfId="0" applyNumberFormat="1" applyFont="1" applyFill="1" applyBorder="1" applyAlignment="1">
      <alignment horizontal="right"/>
    </xf>
    <xf numFmtId="0" fontId="4" fillId="0" borderId="100" xfId="0" applyNumberFormat="1" applyFont="1" applyFill="1" applyBorder="1" applyAlignment="1">
      <alignment horizontal="right"/>
    </xf>
    <xf numFmtId="0" fontId="4" fillId="2" borderId="113" xfId="0" applyFont="1" applyFill="1" applyBorder="1" applyAlignment="1">
      <alignment horizontal="right"/>
    </xf>
    <xf numFmtId="0" fontId="4" fillId="0" borderId="72" xfId="0" applyFont="1" applyFill="1" applyBorder="1" applyAlignment="1">
      <alignment horizontal="center"/>
    </xf>
    <xf numFmtId="169" fontId="13" fillId="4" borderId="73" xfId="0" applyNumberFormat="1" applyFont="1" applyFill="1" applyBorder="1"/>
    <xf numFmtId="164" fontId="13" fillId="4" borderId="105" xfId="4" applyNumberFormat="1" applyFont="1" applyFill="1" applyBorder="1" applyAlignment="1">
      <alignment horizontal="right"/>
    </xf>
    <xf numFmtId="0" fontId="4" fillId="4" borderId="67" xfId="0" applyFont="1" applyFill="1" applyBorder="1"/>
    <xf numFmtId="0" fontId="4" fillId="4" borderId="102" xfId="0" applyFont="1" applyFill="1" applyBorder="1"/>
    <xf numFmtId="0" fontId="4" fillId="4" borderId="55" xfId="0" applyFont="1" applyFill="1" applyBorder="1"/>
    <xf numFmtId="0" fontId="3" fillId="4" borderId="58" xfId="0" applyFont="1" applyFill="1" applyBorder="1"/>
    <xf numFmtId="1" fontId="4" fillId="0" borderId="0" xfId="0" applyNumberFormat="1" applyFont="1" applyFill="1" applyBorder="1"/>
    <xf numFmtId="171" fontId="4" fillId="0" borderId="80" xfId="0" applyNumberFormat="1" applyFont="1" applyFill="1" applyBorder="1"/>
    <xf numFmtId="3" fontId="4" fillId="4" borderId="55" xfId="1" applyNumberFormat="1" applyFont="1" applyFill="1" applyBorder="1"/>
    <xf numFmtId="3" fontId="3" fillId="4" borderId="58" xfId="0" applyNumberFormat="1" applyFont="1" applyFill="1" applyBorder="1"/>
    <xf numFmtId="3" fontId="3" fillId="4" borderId="58" xfId="1" applyNumberFormat="1" applyFont="1" applyFill="1" applyBorder="1"/>
    <xf numFmtId="1" fontId="4" fillId="0" borderId="53" xfId="0" applyNumberFormat="1" applyFont="1" applyBorder="1"/>
    <xf numFmtId="1" fontId="4" fillId="0" borderId="100" xfId="0" applyNumberFormat="1" applyFont="1" applyBorder="1"/>
    <xf numFmtId="1" fontId="4" fillId="0" borderId="130" xfId="0" applyNumberFormat="1" applyFont="1" applyBorder="1"/>
    <xf numFmtId="0" fontId="4" fillId="0" borderId="67" xfId="0" applyFont="1" applyFill="1" applyBorder="1"/>
    <xf numFmtId="0" fontId="4" fillId="4" borderId="3" xfId="0" applyFont="1" applyFill="1" applyBorder="1"/>
    <xf numFmtId="1" fontId="4" fillId="0" borderId="54" xfId="0" applyNumberFormat="1" applyFont="1" applyFill="1" applyBorder="1" applyAlignment="1">
      <alignment horizontal="center"/>
    </xf>
    <xf numFmtId="169" fontId="4" fillId="0" borderId="66" xfId="0" applyNumberFormat="1" applyFont="1" applyBorder="1" applyAlignment="1">
      <alignment horizontal="center"/>
    </xf>
    <xf numFmtId="169" fontId="4" fillId="0" borderId="62" xfId="0" applyNumberFormat="1" applyFont="1" applyBorder="1" applyAlignment="1">
      <alignment horizontal="center"/>
    </xf>
    <xf numFmtId="3" fontId="4" fillId="4" borderId="38" xfId="1" applyNumberFormat="1" applyFont="1" applyFill="1" applyBorder="1" applyAlignment="1">
      <alignment horizontal="right"/>
    </xf>
    <xf numFmtId="3" fontId="4" fillId="4" borderId="38" xfId="0" applyNumberFormat="1" applyFont="1" applyFill="1" applyBorder="1"/>
    <xf numFmtId="3" fontId="3" fillId="4" borderId="58" xfId="0" applyNumberFormat="1" applyFont="1" applyFill="1" applyBorder="1" applyAlignment="1">
      <alignment horizontal="right"/>
    </xf>
    <xf numFmtId="0" fontId="3" fillId="0" borderId="70" xfId="0" applyFont="1" applyFill="1" applyBorder="1" applyAlignment="1">
      <alignment horizontal="center"/>
    </xf>
    <xf numFmtId="166" fontId="0" fillId="0" borderId="58" xfId="0" applyNumberFormat="1" applyFill="1" applyBorder="1" applyAlignment="1"/>
    <xf numFmtId="166" fontId="4" fillId="0" borderId="28" xfId="12" applyNumberFormat="1" applyFont="1" applyFill="1" applyBorder="1" applyAlignment="1"/>
    <xf numFmtId="166" fontId="4" fillId="0" borderId="57" xfId="12" applyNumberFormat="1" applyFont="1" applyFill="1" applyBorder="1" applyAlignment="1"/>
    <xf numFmtId="166" fontId="0" fillId="0" borderId="58" xfId="0" applyNumberFormat="1" applyFill="1" applyBorder="1" applyAlignment="1"/>
    <xf numFmtId="0" fontId="4" fillId="0" borderId="94" xfId="0" applyFont="1" applyFill="1" applyBorder="1"/>
    <xf numFmtId="0" fontId="3" fillId="0" borderId="121" xfId="12" applyFont="1" applyBorder="1"/>
    <xf numFmtId="3" fontId="4" fillId="4" borderId="109" xfId="1" applyNumberFormat="1" applyFont="1" applyFill="1" applyBorder="1" applyAlignment="1"/>
    <xf numFmtId="3" fontId="4" fillId="4" borderId="109" xfId="0" applyNumberFormat="1" applyFont="1" applyFill="1" applyBorder="1"/>
    <xf numFmtId="3" fontId="3" fillId="4" borderId="105" xfId="1" applyNumberFormat="1" applyFont="1" applyFill="1" applyBorder="1" applyAlignment="1"/>
    <xf numFmtId="0" fontId="5" fillId="5" borderId="32" xfId="0" applyFont="1" applyFill="1" applyBorder="1" applyAlignment="1">
      <alignment horizontal="left"/>
    </xf>
    <xf numFmtId="0" fontId="4" fillId="5" borderId="33" xfId="0" applyFont="1" applyFill="1" applyBorder="1" applyAlignment="1">
      <alignment horizontal="right" wrapText="1"/>
    </xf>
    <xf numFmtId="169" fontId="4" fillId="0" borderId="109" xfId="0" applyNumberFormat="1" applyFont="1" applyBorder="1"/>
    <xf numFmtId="169" fontId="4" fillId="0" borderId="72" xfId="0" applyNumberFormat="1" applyFont="1" applyFill="1" applyBorder="1" applyAlignment="1">
      <alignment horizontal="center"/>
    </xf>
    <xf numFmtId="169" fontId="4" fillId="0" borderId="113" xfId="0" applyNumberFormat="1" applyFont="1" applyBorder="1"/>
    <xf numFmtId="3" fontId="4" fillId="0" borderId="54" xfId="1" applyNumberFormat="1" applyFont="1" applyBorder="1" applyAlignment="1">
      <alignment horizontal="center"/>
    </xf>
    <xf numFmtId="166" fontId="4" fillId="0" borderId="55" xfId="13" applyNumberFormat="1" applyFont="1" applyFill="1" applyBorder="1" applyAlignment="1">
      <alignment horizontal="center"/>
    </xf>
    <xf numFmtId="3" fontId="4" fillId="0" borderId="25" xfId="1" applyNumberFormat="1" applyFont="1" applyFill="1" applyBorder="1" applyAlignment="1">
      <alignment horizontal="center"/>
    </xf>
    <xf numFmtId="3" fontId="4" fillId="0" borderId="106" xfId="1" applyNumberFormat="1" applyFont="1" applyBorder="1" applyAlignment="1">
      <alignment horizontal="center"/>
    </xf>
    <xf numFmtId="166" fontId="4" fillId="0" borderId="104" xfId="13" applyNumberFormat="1" applyFont="1" applyFill="1" applyBorder="1" applyAlignment="1">
      <alignment horizontal="center"/>
    </xf>
    <xf numFmtId="0" fontId="3" fillId="0" borderId="51" xfId="0" applyFont="1" applyFill="1" applyBorder="1" applyAlignment="1">
      <alignment horizontal="center"/>
    </xf>
    <xf numFmtId="0" fontId="3" fillId="0" borderId="52" xfId="0" applyFont="1" applyFill="1" applyBorder="1" applyAlignment="1">
      <alignment horizontal="center"/>
    </xf>
    <xf numFmtId="0" fontId="3" fillId="0" borderId="51" xfId="12" applyFont="1" applyFill="1" applyBorder="1" applyAlignment="1">
      <alignment horizontal="center"/>
    </xf>
    <xf numFmtId="0" fontId="3" fillId="0" borderId="52" xfId="12" applyFont="1" applyFill="1" applyBorder="1" applyAlignment="1">
      <alignment horizontal="center"/>
    </xf>
    <xf numFmtId="171" fontId="4" fillId="0" borderId="63" xfId="12" applyNumberFormat="1" applyFont="1" applyFill="1" applyBorder="1" applyAlignment="1">
      <alignment horizontal="right"/>
    </xf>
    <xf numFmtId="171" fontId="4" fillId="0" borderId="66" xfId="12" applyNumberFormat="1" applyFont="1" applyFill="1" applyBorder="1" applyAlignment="1">
      <alignment horizontal="right"/>
    </xf>
    <xf numFmtId="1" fontId="4" fillId="0" borderId="63" xfId="12" applyNumberFormat="1" applyFont="1" applyFill="1" applyBorder="1" applyAlignment="1">
      <alignment horizontal="right"/>
    </xf>
    <xf numFmtId="1" fontId="4" fillId="0" borderId="66" xfId="12" applyNumberFormat="1" applyFont="1" applyFill="1" applyBorder="1" applyAlignment="1">
      <alignment horizontal="right"/>
    </xf>
    <xf numFmtId="0" fontId="3" fillId="0" borderId="69" xfId="12" quotePrefix="1" applyFont="1" applyBorder="1" applyAlignment="1">
      <alignment horizontal="center"/>
    </xf>
    <xf numFmtId="0" fontId="3" fillId="0" borderId="52" xfId="12" quotePrefix="1" applyFont="1" applyBorder="1" applyAlignment="1">
      <alignment horizontal="center"/>
    </xf>
    <xf numFmtId="171" fontId="4" fillId="0" borderId="80" xfId="12" applyNumberFormat="1" applyFont="1" applyFill="1" applyBorder="1" applyAlignment="1">
      <alignment horizontal="right"/>
    </xf>
    <xf numFmtId="171" fontId="4" fillId="0" borderId="94" xfId="12" applyNumberFormat="1" applyFont="1" applyFill="1" applyBorder="1" applyAlignment="1">
      <alignment horizontal="right"/>
    </xf>
    <xf numFmtId="0" fontId="3" fillId="0" borderId="69" xfId="12" applyFont="1" applyBorder="1" applyAlignment="1">
      <alignment horizontal="center"/>
    </xf>
    <xf numFmtId="0" fontId="3" fillId="0" borderId="52" xfId="12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/>
    <xf numFmtId="0" fontId="3" fillId="0" borderId="69" xfId="12" applyFont="1" applyFill="1" applyBorder="1" applyAlignment="1">
      <alignment horizontal="center"/>
    </xf>
    <xf numFmtId="0" fontId="3" fillId="0" borderId="69" xfId="0" applyFont="1" applyFill="1" applyBorder="1" applyAlignment="1">
      <alignment horizontal="center"/>
    </xf>
    <xf numFmtId="0" fontId="3" fillId="0" borderId="69" xfId="0" applyFont="1" applyBorder="1" applyAlignment="1">
      <alignment horizontal="center"/>
    </xf>
    <xf numFmtId="0" fontId="3" fillId="0" borderId="52" xfId="0" applyFont="1" applyBorder="1" applyAlignment="1">
      <alignment horizontal="center"/>
    </xf>
    <xf numFmtId="0" fontId="3" fillId="0" borderId="51" xfId="0" applyFont="1" applyBorder="1" applyAlignment="1">
      <alignment horizontal="center"/>
    </xf>
    <xf numFmtId="166" fontId="4" fillId="0" borderId="0" xfId="12" applyNumberFormat="1" applyFont="1" applyBorder="1" applyAlignment="1"/>
    <xf numFmtId="0" fontId="0" fillId="0" borderId="66" xfId="0" applyBorder="1" applyAlignment="1"/>
    <xf numFmtId="166" fontId="4" fillId="0" borderId="64" xfId="14" applyNumberFormat="1" applyFont="1" applyBorder="1" applyAlignment="1"/>
    <xf numFmtId="0" fontId="0" fillId="0" borderId="65" xfId="0" applyBorder="1" applyAlignment="1"/>
    <xf numFmtId="166" fontId="4" fillId="0" borderId="63" xfId="14" applyNumberFormat="1" applyFont="1" applyBorder="1" applyAlignment="1"/>
    <xf numFmtId="0" fontId="3" fillId="0" borderId="51" xfId="12" quotePrefix="1" applyFont="1" applyBorder="1" applyAlignment="1">
      <alignment horizontal="center"/>
    </xf>
    <xf numFmtId="0" fontId="0" fillId="0" borderId="52" xfId="0" applyBorder="1" applyAlignment="1"/>
    <xf numFmtId="166" fontId="4" fillId="0" borderId="59" xfId="14" applyNumberFormat="1" applyFont="1" applyBorder="1" applyAlignment="1"/>
    <xf numFmtId="0" fontId="0" fillId="0" borderId="60" xfId="0" applyFill="1" applyBorder="1" applyAlignment="1"/>
    <xf numFmtId="0" fontId="0" fillId="0" borderId="52" xfId="0" applyBorder="1" applyAlignment="1">
      <alignment horizontal="center"/>
    </xf>
    <xf numFmtId="166" fontId="4" fillId="0" borderId="57" xfId="14" applyNumberFormat="1" applyFont="1" applyBorder="1" applyAlignment="1"/>
    <xf numFmtId="0" fontId="0" fillId="0" borderId="58" xfId="0" applyBorder="1" applyAlignment="1"/>
    <xf numFmtId="0" fontId="4" fillId="0" borderId="52" xfId="0" applyFont="1" applyBorder="1" applyAlignment="1">
      <alignment horizontal="center"/>
    </xf>
    <xf numFmtId="166" fontId="4" fillId="0" borderId="28" xfId="12" applyNumberFormat="1" applyFont="1" applyBorder="1" applyAlignment="1"/>
    <xf numFmtId="0" fontId="3" fillId="0" borderId="106" xfId="0" applyFont="1" applyBorder="1" applyAlignment="1">
      <alignment horizontal="center"/>
    </xf>
    <xf numFmtId="0" fontId="7" fillId="0" borderId="104" xfId="0" applyFont="1" applyBorder="1" applyAlignment="1"/>
    <xf numFmtId="0" fontId="3" fillId="0" borderId="118" xfId="0" applyFont="1" applyBorder="1" applyAlignment="1">
      <alignment horizontal="center"/>
    </xf>
    <xf numFmtId="0" fontId="3" fillId="0" borderId="111" xfId="0" applyFont="1" applyBorder="1" applyAlignment="1">
      <alignment horizontal="center"/>
    </xf>
    <xf numFmtId="166" fontId="4" fillId="0" borderId="56" xfId="14" applyNumberFormat="1" applyFont="1" applyBorder="1" applyAlignment="1"/>
    <xf numFmtId="0" fontId="0" fillId="0" borderId="38" xfId="0" applyFill="1" applyBorder="1" applyAlignment="1"/>
    <xf numFmtId="0" fontId="0" fillId="0" borderId="58" xfId="0" applyFill="1" applyBorder="1" applyAlignment="1"/>
    <xf numFmtId="3" fontId="3" fillId="0" borderId="114" xfId="12" applyNumberFormat="1" applyFont="1" applyBorder="1" applyAlignment="1">
      <alignment horizontal="center"/>
    </xf>
    <xf numFmtId="0" fontId="0" fillId="0" borderId="115" xfId="0" applyBorder="1" applyAlignment="1">
      <alignment horizontal="center"/>
    </xf>
    <xf numFmtId="166" fontId="4" fillId="0" borderId="48" xfId="12" applyNumberFormat="1" applyFont="1" applyBorder="1" applyAlignment="1"/>
    <xf numFmtId="0" fontId="0" fillId="0" borderId="60" xfId="0" applyBorder="1" applyAlignment="1"/>
    <xf numFmtId="0" fontId="3" fillId="0" borderId="126" xfId="0" applyFont="1" applyFill="1" applyBorder="1" applyAlignment="1">
      <alignment horizontal="center"/>
    </xf>
    <xf numFmtId="0" fontId="3" fillId="0" borderId="125" xfId="0" applyFont="1" applyFill="1" applyBorder="1" applyAlignment="1">
      <alignment horizontal="center"/>
    </xf>
    <xf numFmtId="0" fontId="3" fillId="0" borderId="70" xfId="0" applyFont="1" applyFill="1" applyBorder="1" applyAlignment="1">
      <alignment horizontal="center"/>
    </xf>
    <xf numFmtId="0" fontId="3" fillId="0" borderId="25" xfId="0" applyFont="1" applyBorder="1" applyAlignment="1">
      <alignment horizontal="center"/>
    </xf>
    <xf numFmtId="2" fontId="4" fillId="0" borderId="0" xfId="12" applyNumberFormat="1" applyFont="1" applyFill="1" applyBorder="1" applyAlignment="1">
      <alignment horizontal="right"/>
    </xf>
    <xf numFmtId="2" fontId="0" fillId="0" borderId="66" xfId="0" applyNumberFormat="1" applyBorder="1" applyAlignment="1"/>
    <xf numFmtId="2" fontId="0" fillId="0" borderId="0" xfId="0" applyNumberFormat="1" applyBorder="1" applyAlignment="1"/>
    <xf numFmtId="171" fontId="4" fillId="0" borderId="0" xfId="12" applyNumberFormat="1" applyFont="1" applyFill="1" applyBorder="1" applyAlignment="1">
      <alignment horizontal="right"/>
    </xf>
    <xf numFmtId="171" fontId="0" fillId="0" borderId="66" xfId="0" applyNumberFormat="1" applyBorder="1" applyAlignment="1"/>
    <xf numFmtId="171" fontId="4" fillId="0" borderId="8" xfId="12" applyNumberFormat="1" applyFont="1" applyFill="1" applyBorder="1" applyAlignment="1">
      <alignment horizontal="right"/>
    </xf>
    <xf numFmtId="171" fontId="0" fillId="0" borderId="94" xfId="0" applyNumberFormat="1" applyBorder="1" applyAlignment="1"/>
    <xf numFmtId="171" fontId="0" fillId="0" borderId="0" xfId="0" applyNumberFormat="1" applyBorder="1" applyAlignment="1"/>
    <xf numFmtId="1" fontId="4" fillId="0" borderId="0" xfId="12" applyNumberFormat="1" applyFont="1" applyFill="1" applyBorder="1" applyAlignment="1">
      <alignment horizontal="right"/>
    </xf>
    <xf numFmtId="1" fontId="0" fillId="0" borderId="66" xfId="0" applyNumberFormat="1" applyBorder="1" applyAlignment="1"/>
    <xf numFmtId="3" fontId="4" fillId="0" borderId="0" xfId="12" applyNumberFormat="1" applyFont="1" applyFill="1" applyBorder="1" applyAlignment="1">
      <alignment horizontal="right"/>
    </xf>
    <xf numFmtId="3" fontId="0" fillId="0" borderId="66" xfId="0" applyNumberFormat="1" applyBorder="1" applyAlignment="1"/>
    <xf numFmtId="1" fontId="4" fillId="0" borderId="8" xfId="12" applyNumberFormat="1" applyFont="1" applyFill="1" applyBorder="1" applyAlignment="1">
      <alignment horizontal="right"/>
    </xf>
    <xf numFmtId="1" fontId="0" fillId="0" borderId="94" xfId="0" applyNumberFormat="1" applyBorder="1" applyAlignment="1"/>
    <xf numFmtId="0" fontId="3" fillId="0" borderId="120" xfId="0" applyFont="1" applyBorder="1" applyAlignment="1">
      <alignment horizontal="center"/>
    </xf>
    <xf numFmtId="0" fontId="7" fillId="0" borderId="127" xfId="0" applyFont="1" applyBorder="1" applyAlignment="1"/>
    <xf numFmtId="166" fontId="0" fillId="0" borderId="38" xfId="0" applyNumberFormat="1" applyFill="1" applyBorder="1" applyAlignment="1"/>
    <xf numFmtId="166" fontId="0" fillId="0" borderId="60" xfId="0" applyNumberFormat="1" applyFill="1" applyBorder="1" applyAlignment="1"/>
    <xf numFmtId="166" fontId="0" fillId="0" borderId="58" xfId="0" applyNumberFormat="1" applyFill="1" applyBorder="1" applyAlignment="1"/>
    <xf numFmtId="2" fontId="4" fillId="0" borderId="63" xfId="12" applyNumberFormat="1" applyFont="1" applyFill="1" applyBorder="1" applyAlignment="1">
      <alignment horizontal="right"/>
    </xf>
    <xf numFmtId="2" fontId="4" fillId="0" borderId="66" xfId="12" applyNumberFormat="1" applyFont="1" applyFill="1" applyBorder="1" applyAlignment="1">
      <alignment horizontal="right"/>
    </xf>
    <xf numFmtId="166" fontId="4" fillId="0" borderId="59" xfId="12" applyNumberFormat="1" applyFont="1" applyBorder="1" applyAlignment="1"/>
    <xf numFmtId="166" fontId="0" fillId="0" borderId="60" xfId="0" applyNumberFormat="1" applyBorder="1" applyAlignment="1"/>
    <xf numFmtId="166" fontId="0" fillId="0" borderId="66" xfId="0" applyNumberFormat="1" applyBorder="1" applyAlignment="1"/>
    <xf numFmtId="166" fontId="4" fillId="0" borderId="63" xfId="12" applyNumberFormat="1" applyFont="1" applyBorder="1" applyAlignment="1"/>
    <xf numFmtId="166" fontId="4" fillId="0" borderId="57" xfId="12" applyNumberFormat="1" applyFont="1" applyBorder="1" applyAlignment="1"/>
    <xf numFmtId="166" fontId="0" fillId="0" borderId="58" xfId="0" applyNumberFormat="1" applyBorder="1" applyAlignment="1"/>
    <xf numFmtId="2" fontId="3" fillId="0" borderId="125" xfId="0" applyNumberFormat="1" applyFont="1" applyBorder="1" applyAlignment="1">
      <alignment horizontal="center"/>
    </xf>
    <xf numFmtId="0" fontId="7" fillId="0" borderId="111" xfId="0" applyFont="1" applyBorder="1" applyAlignment="1">
      <alignment horizontal="center"/>
    </xf>
    <xf numFmtId="3" fontId="4" fillId="0" borderId="63" xfId="12" applyNumberFormat="1" applyFont="1" applyFill="1" applyBorder="1" applyAlignment="1">
      <alignment horizontal="right"/>
    </xf>
    <xf numFmtId="3" fontId="4" fillId="0" borderId="66" xfId="12" applyNumberFormat="1" applyFont="1" applyFill="1" applyBorder="1" applyAlignment="1">
      <alignment horizontal="right"/>
    </xf>
    <xf numFmtId="2" fontId="3" fillId="0" borderId="125" xfId="0" applyNumberFormat="1" applyFont="1" applyFill="1" applyBorder="1" applyAlignment="1">
      <alignment horizontal="center"/>
    </xf>
    <xf numFmtId="0" fontId="7" fillId="0" borderId="111" xfId="0" applyFont="1" applyFill="1" applyBorder="1" applyAlignment="1">
      <alignment horizontal="center"/>
    </xf>
    <xf numFmtId="166" fontId="0" fillId="0" borderId="65" xfId="0" applyNumberFormat="1" applyBorder="1" applyAlignment="1"/>
    <xf numFmtId="2" fontId="3" fillId="0" borderId="126" xfId="0" applyNumberFormat="1" applyFont="1" applyBorder="1" applyAlignment="1">
      <alignment horizontal="center"/>
    </xf>
    <xf numFmtId="0" fontId="7" fillId="0" borderId="70" xfId="0" applyFont="1" applyBorder="1" applyAlignment="1">
      <alignment horizontal="center"/>
    </xf>
    <xf numFmtId="0" fontId="3" fillId="0" borderId="104" xfId="0" applyFont="1" applyBorder="1" applyAlignment="1">
      <alignment horizontal="center"/>
    </xf>
    <xf numFmtId="0" fontId="3" fillId="0" borderId="91" xfId="0" applyFont="1" applyBorder="1" applyAlignment="1">
      <alignment horizontal="center"/>
    </xf>
    <xf numFmtId="0" fontId="3" fillId="0" borderId="73" xfId="0" applyFont="1" applyBorder="1" applyAlignment="1">
      <alignment horizontal="center"/>
    </xf>
    <xf numFmtId="0" fontId="3" fillId="0" borderId="127" xfId="0" applyFont="1" applyBorder="1" applyAlignment="1">
      <alignment horizontal="center"/>
    </xf>
    <xf numFmtId="1" fontId="4" fillId="0" borderId="80" xfId="12" applyNumberFormat="1" applyFont="1" applyFill="1" applyBorder="1" applyAlignment="1">
      <alignment horizontal="right"/>
    </xf>
    <xf numFmtId="1" fontId="4" fillId="0" borderId="94" xfId="12" applyNumberFormat="1" applyFont="1" applyFill="1" applyBorder="1" applyAlignment="1">
      <alignment horizontal="right"/>
    </xf>
    <xf numFmtId="166" fontId="4" fillId="0" borderId="28" xfId="12" applyNumberFormat="1" applyFont="1" applyFill="1" applyBorder="1" applyAlignment="1"/>
    <xf numFmtId="166" fontId="0" fillId="0" borderId="28" xfId="0" applyNumberFormat="1" applyBorder="1" applyAlignment="1"/>
    <xf numFmtId="0" fontId="3" fillId="0" borderId="111" xfId="0" applyFont="1" applyFill="1" applyBorder="1" applyAlignment="1">
      <alignment horizontal="center"/>
    </xf>
    <xf numFmtId="0" fontId="3" fillId="0" borderId="127" xfId="0" applyFont="1" applyFill="1" applyBorder="1" applyAlignment="1">
      <alignment horizontal="center"/>
    </xf>
    <xf numFmtId="0" fontId="0" fillId="0" borderId="127" xfId="0" applyFill="1" applyBorder="1" applyAlignment="1">
      <alignment horizontal="center"/>
    </xf>
    <xf numFmtId="0" fontId="0" fillId="0" borderId="52" xfId="0" applyFill="1" applyBorder="1" applyAlignment="1">
      <alignment horizontal="center"/>
    </xf>
    <xf numFmtId="0" fontId="0" fillId="0" borderId="66" xfId="0" applyBorder="1" applyAlignment="1">
      <alignment horizontal="right"/>
    </xf>
    <xf numFmtId="0" fontId="0" fillId="0" borderId="63" xfId="0" applyBorder="1" applyAlignment="1">
      <alignment horizontal="right"/>
    </xf>
    <xf numFmtId="171" fontId="0" fillId="0" borderId="63" xfId="0" applyNumberFormat="1" applyBorder="1" applyAlignment="1">
      <alignment horizontal="right"/>
    </xf>
    <xf numFmtId="171" fontId="0" fillId="0" borderId="66" xfId="0" applyNumberFormat="1" applyBorder="1" applyAlignment="1">
      <alignment horizontal="right"/>
    </xf>
    <xf numFmtId="166" fontId="4" fillId="0" borderId="63" xfId="14" applyNumberFormat="1" applyFont="1" applyFill="1" applyBorder="1" applyAlignment="1"/>
    <xf numFmtId="166" fontId="0" fillId="0" borderId="66" xfId="0" applyNumberFormat="1" applyFill="1" applyBorder="1" applyAlignment="1"/>
    <xf numFmtId="166" fontId="4" fillId="0" borderId="64" xfId="14" applyNumberFormat="1" applyFont="1" applyFill="1" applyBorder="1" applyAlignment="1"/>
    <xf numFmtId="166" fontId="0" fillId="0" borderId="65" xfId="0" applyNumberFormat="1" applyFill="1" applyBorder="1" applyAlignment="1"/>
    <xf numFmtId="166" fontId="4" fillId="0" borderId="57" xfId="12" applyNumberFormat="1" applyFont="1" applyFill="1" applyBorder="1" applyAlignment="1"/>
    <xf numFmtId="166" fontId="4" fillId="0" borderId="54" xfId="12" applyNumberFormat="1" applyFont="1" applyBorder="1" applyAlignment="1"/>
    <xf numFmtId="166" fontId="0" fillId="0" borderId="55" xfId="0" applyNumberFormat="1" applyBorder="1" applyAlignment="1"/>
  </cellXfs>
  <cellStyles count="16">
    <cellStyle name="Comma" xfId="1" builtinId="3"/>
    <cellStyle name="Comma_Accounting" xfId="2"/>
    <cellStyle name="Comma0" xfId="3"/>
    <cellStyle name="Currency" xfId="4" builtinId="4"/>
    <cellStyle name="Currency0" xfId="5"/>
    <cellStyle name="Date" xfId="6"/>
    <cellStyle name="Fixed" xfId="7"/>
    <cellStyle name="Heading 1" xfId="8" builtinId="16" customBuiltin="1"/>
    <cellStyle name="Heading 2" xfId="9" builtinId="17" customBuiltin="1"/>
    <cellStyle name="HEADING1" xfId="10"/>
    <cellStyle name="HEADING2" xfId="11"/>
    <cellStyle name="Normal" xfId="0" builtinId="0"/>
    <cellStyle name="Normal_Accounting" xfId="12"/>
    <cellStyle name="Percent" xfId="13" builtinId="5"/>
    <cellStyle name="Percent_Accounting" xfId="14"/>
    <cellStyle name="Total" xfId="15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66"/>
  <sheetViews>
    <sheetView view="pageBreakPreview" zoomScaleNormal="85" zoomScaleSheetLayoutView="100" workbookViewId="0">
      <pane xSplit="2" ySplit="1" topLeftCell="O81" activePane="bottomRight" state="frozen"/>
      <selection activeCell="Z73" sqref="Z73"/>
      <selection pane="topRight" activeCell="Z73" sqref="Z73"/>
      <selection pane="bottomLeft" activeCell="Z73" sqref="Z73"/>
      <selection pane="bottomRight" activeCell="Z73" sqref="Z73"/>
    </sheetView>
  </sheetViews>
  <sheetFormatPr defaultColWidth="10.28515625" defaultRowHeight="12.75" x14ac:dyDescent="0.2"/>
  <cols>
    <col min="1" max="1" width="3.7109375" style="1" customWidth="1"/>
    <col min="2" max="2" width="35.28515625" style="1" customWidth="1"/>
    <col min="3" max="3" width="7.5703125" hidden="1" customWidth="1"/>
    <col min="4" max="4" width="10.28515625" hidden="1" customWidth="1"/>
    <col min="5" max="5" width="7.7109375" hidden="1" customWidth="1"/>
    <col min="6" max="6" width="10.28515625" hidden="1" customWidth="1"/>
    <col min="7" max="7" width="7.7109375" style="246" hidden="1" customWidth="1"/>
    <col min="8" max="8" width="10.28515625" style="246" hidden="1" customWidth="1"/>
    <col min="9" max="9" width="7.7109375" style="246" hidden="1" customWidth="1"/>
    <col min="10" max="10" width="10.85546875" style="246" hidden="1" customWidth="1"/>
    <col min="11" max="11" width="7.7109375" style="1" hidden="1" customWidth="1"/>
    <col min="12" max="12" width="10.5703125" style="1" hidden="1" customWidth="1"/>
    <col min="13" max="13" width="7.7109375" style="1" hidden="1" customWidth="1"/>
    <col min="14" max="14" width="10.5703125" style="1" hidden="1" customWidth="1"/>
    <col min="15" max="15" width="7.7109375" style="1" customWidth="1"/>
    <col min="16" max="16" width="10.5703125" style="1" customWidth="1"/>
    <col min="17" max="17" width="7.7109375" style="1" customWidth="1"/>
    <col min="18" max="18" width="10.5703125" style="1" customWidth="1"/>
    <col min="19" max="19" width="7.7109375" style="1" customWidth="1"/>
    <col min="20" max="20" width="10.85546875" style="1" bestFit="1" customWidth="1"/>
    <col min="21" max="21" width="7.7109375" style="1" customWidth="1"/>
    <col min="22" max="22" width="11.28515625" style="1" customWidth="1"/>
    <col min="23" max="23" width="7.7109375" style="1" customWidth="1"/>
    <col min="24" max="24" width="10.85546875" style="1" bestFit="1" customWidth="1"/>
    <col min="25" max="25" width="7.7109375" style="1" customWidth="1"/>
    <col min="26" max="26" width="9.85546875" style="1" customWidth="1"/>
    <col min="27" max="27" width="3.140625" style="245" customWidth="1"/>
    <col min="28" max="28" width="10.28515625" style="1" customWidth="1"/>
    <col min="29" max="29" width="11.140625" style="1" customWidth="1"/>
    <col min="30" max="30" width="1.42578125" style="1" customWidth="1"/>
    <col min="31" max="16384" width="10.28515625" style="1"/>
  </cols>
  <sheetData>
    <row r="1" spans="1:29" ht="18" x14ac:dyDescent="0.25">
      <c r="A1" s="695" t="s">
        <v>190</v>
      </c>
      <c r="B1" s="695"/>
      <c r="C1" s="695"/>
      <c r="D1" s="695"/>
      <c r="E1" s="695"/>
      <c r="F1" s="695"/>
      <c r="G1" s="695"/>
      <c r="H1" s="695"/>
      <c r="I1" s="696"/>
      <c r="J1" s="696"/>
      <c r="K1" s="696"/>
      <c r="L1" s="696"/>
      <c r="M1" s="696"/>
      <c r="N1" s="696"/>
      <c r="O1" s="696"/>
      <c r="P1" s="696"/>
      <c r="Q1" s="696"/>
      <c r="R1" s="696"/>
      <c r="S1" s="696"/>
      <c r="T1" s="696"/>
      <c r="U1" s="696"/>
      <c r="V1" s="696"/>
      <c r="W1" s="696"/>
      <c r="X1" s="696"/>
      <c r="Y1" s="696"/>
      <c r="Z1" s="696"/>
      <c r="AA1" s="812"/>
      <c r="AB1" s="696"/>
      <c r="AC1" s="696"/>
    </row>
    <row r="2" spans="1:29" ht="6.75" customHeight="1" x14ac:dyDescent="0.2">
      <c r="C2" s="1"/>
      <c r="D2" s="1"/>
      <c r="E2" s="1"/>
      <c r="F2" s="1"/>
      <c r="G2" s="245"/>
      <c r="H2" s="245"/>
      <c r="I2" s="245"/>
      <c r="J2" s="245"/>
    </row>
    <row r="3" spans="1:29" x14ac:dyDescent="0.2">
      <c r="A3" s="3" t="s">
        <v>30</v>
      </c>
      <c r="C3" s="1"/>
      <c r="D3" s="1"/>
      <c r="E3" s="1"/>
      <c r="F3" s="1"/>
      <c r="G3" s="245"/>
      <c r="H3" s="245"/>
      <c r="I3" s="245"/>
      <c r="J3" s="245"/>
    </row>
    <row r="4" spans="1:29" ht="4.5" customHeight="1" x14ac:dyDescent="0.2">
      <c r="C4" s="1"/>
      <c r="D4" s="1"/>
      <c r="E4" s="1"/>
      <c r="F4" s="1"/>
      <c r="G4" s="245"/>
      <c r="H4" s="245"/>
      <c r="I4" s="245"/>
      <c r="J4" s="245"/>
    </row>
    <row r="5" spans="1:29" x14ac:dyDescent="0.2">
      <c r="A5" s="3" t="s">
        <v>61</v>
      </c>
      <c r="C5" s="1"/>
      <c r="D5" s="1"/>
      <c r="E5" s="1"/>
      <c r="F5" s="1"/>
      <c r="G5" s="245"/>
      <c r="H5" s="245"/>
      <c r="I5" s="245"/>
      <c r="J5" s="245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253"/>
    </row>
    <row r="6" spans="1:29" ht="13.5" thickBot="1" x14ac:dyDescent="0.25">
      <c r="A6" s="3"/>
      <c r="C6" s="1"/>
      <c r="D6" s="1"/>
      <c r="E6" s="1"/>
      <c r="F6" s="1"/>
      <c r="G6" s="245"/>
      <c r="H6" s="245"/>
      <c r="I6" s="245"/>
      <c r="J6" s="245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253"/>
      <c r="AB6" s="12"/>
      <c r="AC6" s="12"/>
    </row>
    <row r="7" spans="1:29" ht="13.5" customHeight="1" thickTop="1" x14ac:dyDescent="0.2">
      <c r="B7" s="42"/>
      <c r="C7" s="8" t="s">
        <v>39</v>
      </c>
      <c r="D7" s="22"/>
      <c r="E7" s="8" t="s">
        <v>40</v>
      </c>
      <c r="F7" s="4"/>
      <c r="G7" s="276" t="s">
        <v>97</v>
      </c>
      <c r="H7" s="352"/>
      <c r="I7" s="1180" t="s">
        <v>108</v>
      </c>
      <c r="J7" s="1180"/>
      <c r="K7" s="1179" t="s">
        <v>109</v>
      </c>
      <c r="L7" s="1180"/>
      <c r="M7" s="1179" t="s">
        <v>111</v>
      </c>
      <c r="N7" s="1181"/>
      <c r="O7" s="1180" t="s">
        <v>164</v>
      </c>
      <c r="P7" s="1181"/>
      <c r="Q7" s="1180" t="s">
        <v>169</v>
      </c>
      <c r="R7" s="1181"/>
      <c r="S7" s="1180" t="s">
        <v>176</v>
      </c>
      <c r="T7" s="1181"/>
      <c r="U7" s="1180" t="s">
        <v>179</v>
      </c>
      <c r="V7" s="1181"/>
      <c r="W7" s="1180" t="s">
        <v>183</v>
      </c>
      <c r="X7" s="1181"/>
      <c r="Y7" s="1180" t="s">
        <v>187</v>
      </c>
      <c r="Z7" s="1181"/>
      <c r="AA7" s="608"/>
      <c r="AB7" s="1168" t="s">
        <v>118</v>
      </c>
      <c r="AC7" s="1169"/>
    </row>
    <row r="8" spans="1:29" ht="12" x14ac:dyDescent="0.2">
      <c r="B8" s="43"/>
      <c r="C8" s="547" t="s">
        <v>1</v>
      </c>
      <c r="D8" s="86" t="s">
        <v>2</v>
      </c>
      <c r="E8" s="547" t="s">
        <v>1</v>
      </c>
      <c r="F8" s="86" t="s">
        <v>2</v>
      </c>
      <c r="G8" s="317" t="s">
        <v>1</v>
      </c>
      <c r="H8" s="354" t="s">
        <v>2</v>
      </c>
      <c r="I8" s="317" t="s">
        <v>1</v>
      </c>
      <c r="J8" s="354" t="s">
        <v>2</v>
      </c>
      <c r="K8" s="317" t="s">
        <v>1</v>
      </c>
      <c r="L8" s="354" t="s">
        <v>2</v>
      </c>
      <c r="M8" s="317" t="s">
        <v>1</v>
      </c>
      <c r="N8" s="354" t="s">
        <v>2</v>
      </c>
      <c r="O8" s="349" t="s">
        <v>1</v>
      </c>
      <c r="P8" s="354" t="s">
        <v>2</v>
      </c>
      <c r="Q8" s="349" t="s">
        <v>1</v>
      </c>
      <c r="R8" s="354" t="s">
        <v>2</v>
      </c>
      <c r="S8" s="349" t="s">
        <v>1</v>
      </c>
      <c r="T8" s="354" t="s">
        <v>2</v>
      </c>
      <c r="U8" s="349" t="s">
        <v>1</v>
      </c>
      <c r="V8" s="354" t="s">
        <v>2</v>
      </c>
      <c r="W8" s="349" t="s">
        <v>1</v>
      </c>
      <c r="X8" s="354" t="s">
        <v>2</v>
      </c>
      <c r="Y8" s="349" t="s">
        <v>1</v>
      </c>
      <c r="Z8" s="354" t="s">
        <v>2</v>
      </c>
      <c r="AA8" s="608"/>
      <c r="AB8" s="349" t="s">
        <v>1</v>
      </c>
      <c r="AC8" s="247" t="s">
        <v>2</v>
      </c>
    </row>
    <row r="9" spans="1:29" thickBot="1" x14ac:dyDescent="0.25">
      <c r="B9" s="44"/>
      <c r="C9" s="592" t="s">
        <v>3</v>
      </c>
      <c r="D9" s="593" t="s">
        <v>4</v>
      </c>
      <c r="E9" s="594" t="s">
        <v>3</v>
      </c>
      <c r="F9" s="595" t="s">
        <v>4</v>
      </c>
      <c r="G9" s="596" t="s">
        <v>3</v>
      </c>
      <c r="H9" s="597" t="s">
        <v>4</v>
      </c>
      <c r="I9" s="598" t="s">
        <v>3</v>
      </c>
      <c r="J9" s="599" t="s">
        <v>4</v>
      </c>
      <c r="K9" s="596" t="s">
        <v>3</v>
      </c>
      <c r="L9" s="599" t="s">
        <v>4</v>
      </c>
      <c r="M9" s="596" t="s">
        <v>3</v>
      </c>
      <c r="N9" s="597" t="s">
        <v>4</v>
      </c>
      <c r="O9" s="598" t="s">
        <v>3</v>
      </c>
      <c r="P9" s="597" t="s">
        <v>4</v>
      </c>
      <c r="Q9" s="598" t="s">
        <v>3</v>
      </c>
      <c r="R9" s="597" t="s">
        <v>4</v>
      </c>
      <c r="S9" s="598" t="s">
        <v>3</v>
      </c>
      <c r="T9" s="597" t="s">
        <v>4</v>
      </c>
      <c r="U9" s="598" t="s">
        <v>3</v>
      </c>
      <c r="V9" s="597" t="s">
        <v>4</v>
      </c>
      <c r="W9" s="598" t="s">
        <v>3</v>
      </c>
      <c r="X9" s="597" t="s">
        <v>4</v>
      </c>
      <c r="Y9" s="598" t="s">
        <v>3</v>
      </c>
      <c r="Z9" s="597" t="s">
        <v>4</v>
      </c>
      <c r="AA9" s="608"/>
      <c r="AB9" s="607" t="s">
        <v>3</v>
      </c>
      <c r="AC9" s="591" t="s">
        <v>4</v>
      </c>
    </row>
    <row r="10" spans="1:29" ht="12" x14ac:dyDescent="0.2">
      <c r="B10" s="45" t="s">
        <v>5</v>
      </c>
      <c r="C10" s="13"/>
      <c r="D10" s="27"/>
      <c r="E10" s="87"/>
      <c r="F10" s="108"/>
      <c r="G10" s="318"/>
      <c r="H10" s="355"/>
      <c r="I10" s="350"/>
      <c r="J10" s="429"/>
      <c r="K10" s="318"/>
      <c r="L10" s="429"/>
      <c r="M10" s="318"/>
      <c r="N10" s="355"/>
      <c r="O10" s="350"/>
      <c r="P10" s="355"/>
      <c r="Q10" s="350"/>
      <c r="R10" s="355"/>
      <c r="S10" s="350"/>
      <c r="T10" s="355"/>
      <c r="U10" s="350"/>
      <c r="V10" s="355"/>
      <c r="W10" s="350"/>
      <c r="X10" s="355"/>
      <c r="Y10" s="350"/>
      <c r="Z10" s="355"/>
      <c r="AA10" s="589"/>
      <c r="AC10" s="583"/>
    </row>
    <row r="11" spans="1:29" ht="12" x14ac:dyDescent="0.2">
      <c r="B11" s="46" t="s">
        <v>161</v>
      </c>
      <c r="C11" s="10"/>
      <c r="D11" s="29"/>
      <c r="E11" s="13"/>
      <c r="F11" s="14"/>
      <c r="G11" s="279"/>
      <c r="H11" s="356"/>
      <c r="I11" s="111"/>
      <c r="J11" s="430"/>
      <c r="K11" s="279"/>
      <c r="L11" s="430"/>
      <c r="M11" s="279"/>
      <c r="N11" s="356"/>
      <c r="O11" s="111"/>
      <c r="P11" s="356"/>
      <c r="Q11" s="111"/>
      <c r="R11" s="356"/>
      <c r="S11" s="111"/>
      <c r="T11" s="356"/>
      <c r="U11" s="111"/>
      <c r="V11" s="356"/>
      <c r="W11" s="111"/>
      <c r="X11" s="356"/>
      <c r="Y11" s="111"/>
      <c r="Z11" s="356"/>
      <c r="AA11" s="589"/>
      <c r="AC11" s="583"/>
    </row>
    <row r="12" spans="1:29" ht="12" x14ac:dyDescent="0.2">
      <c r="B12" s="47" t="s">
        <v>151</v>
      </c>
      <c r="C12" s="91">
        <v>23</v>
      </c>
      <c r="D12" s="78">
        <v>9</v>
      </c>
      <c r="E12" s="13">
        <v>26</v>
      </c>
      <c r="F12" s="14">
        <v>14</v>
      </c>
      <c r="G12" s="279">
        <v>22</v>
      </c>
      <c r="H12" s="356">
        <v>7</v>
      </c>
      <c r="I12" s="111">
        <v>32</v>
      </c>
      <c r="J12" s="430">
        <v>12</v>
      </c>
      <c r="K12" s="279">
        <v>32</v>
      </c>
      <c r="L12" s="430">
        <v>16</v>
      </c>
      <c r="M12" s="279">
        <f>2+47</f>
        <v>49</v>
      </c>
      <c r="N12" s="356">
        <v>21</v>
      </c>
      <c r="O12" s="111">
        <v>38</v>
      </c>
      <c r="P12" s="356">
        <v>16</v>
      </c>
      <c r="Q12" s="111">
        <v>38</v>
      </c>
      <c r="R12" s="356">
        <v>18</v>
      </c>
      <c r="S12" s="111">
        <v>73</v>
      </c>
      <c r="T12" s="356">
        <v>18</v>
      </c>
      <c r="U12" s="111">
        <v>114</v>
      </c>
      <c r="V12" s="356">
        <v>24</v>
      </c>
      <c r="W12" s="111">
        <v>139</v>
      </c>
      <c r="X12" s="356">
        <v>21</v>
      </c>
      <c r="Y12" s="111">
        <v>131</v>
      </c>
      <c r="Z12" s="1003"/>
      <c r="AA12" s="589"/>
      <c r="AB12" s="600">
        <f>AVERAGE(W12,U12,S12,Q12,Y12)</f>
        <v>99</v>
      </c>
      <c r="AC12" s="602">
        <f t="shared" ref="AC12:AC14" si="0">AVERAGE(X12,V12,T12,R12,Z12)</f>
        <v>20.25</v>
      </c>
    </row>
    <row r="13" spans="1:29" ht="12" x14ac:dyDescent="0.2">
      <c r="B13" s="47" t="s">
        <v>64</v>
      </c>
      <c r="C13" s="91">
        <v>272</v>
      </c>
      <c r="D13" s="78">
        <f>14+38+96</f>
        <v>148</v>
      </c>
      <c r="E13" s="13">
        <v>280</v>
      </c>
      <c r="F13" s="14">
        <v>149</v>
      </c>
      <c r="G13" s="279">
        <v>299</v>
      </c>
      <c r="H13" s="356">
        <v>179</v>
      </c>
      <c r="I13" s="111">
        <v>284</v>
      </c>
      <c r="J13" s="430">
        <v>161</v>
      </c>
      <c r="K13" s="279">
        <v>287</v>
      </c>
      <c r="L13" s="430">
        <v>143</v>
      </c>
      <c r="M13" s="279">
        <f>282+1</f>
        <v>283</v>
      </c>
      <c r="N13" s="356">
        <v>164</v>
      </c>
      <c r="O13" s="111">
        <v>259</v>
      </c>
      <c r="P13" s="356">
        <v>139</v>
      </c>
      <c r="Q13" s="111">
        <v>269</v>
      </c>
      <c r="R13" s="356">
        <v>143</v>
      </c>
      <c r="S13" s="111">
        <v>330</v>
      </c>
      <c r="T13" s="356">
        <v>189</v>
      </c>
      <c r="U13" s="111">
        <f>355+1+3</f>
        <v>359</v>
      </c>
      <c r="V13" s="356">
        <v>190</v>
      </c>
      <c r="W13" s="111">
        <v>388</v>
      </c>
      <c r="X13" s="356">
        <v>197</v>
      </c>
      <c r="Y13" s="111">
        <v>386</v>
      </c>
      <c r="Z13" s="1003"/>
      <c r="AA13" s="589"/>
      <c r="AB13" s="600">
        <f t="shared" ref="AB13:AB14" si="1">AVERAGE(W13,U13,S13,Q13,Y13)</f>
        <v>346.4</v>
      </c>
      <c r="AC13" s="602">
        <f t="shared" si="0"/>
        <v>179.75</v>
      </c>
    </row>
    <row r="14" spans="1:29" ht="12" x14ac:dyDescent="0.2">
      <c r="B14" s="552" t="s">
        <v>98</v>
      </c>
      <c r="C14" s="13"/>
      <c r="D14" s="110">
        <v>2</v>
      </c>
      <c r="E14" s="13"/>
      <c r="F14" s="14">
        <v>0</v>
      </c>
      <c r="G14" s="279"/>
      <c r="H14" s="356">
        <v>1</v>
      </c>
      <c r="I14" s="111">
        <v>2</v>
      </c>
      <c r="J14" s="430">
        <v>1</v>
      </c>
      <c r="K14" s="279">
        <v>8</v>
      </c>
      <c r="L14" s="430">
        <v>0</v>
      </c>
      <c r="M14" s="279">
        <f>3+1</f>
        <v>4</v>
      </c>
      <c r="N14" s="356">
        <v>4</v>
      </c>
      <c r="O14" s="111">
        <v>10</v>
      </c>
      <c r="P14" s="356">
        <v>3</v>
      </c>
      <c r="Q14" s="111">
        <v>10</v>
      </c>
      <c r="R14" s="356">
        <v>1</v>
      </c>
      <c r="S14" s="111">
        <v>14</v>
      </c>
      <c r="T14" s="356">
        <v>4</v>
      </c>
      <c r="U14" s="111">
        <v>12</v>
      </c>
      <c r="V14" s="356">
        <v>0</v>
      </c>
      <c r="W14" s="111">
        <v>12</v>
      </c>
      <c r="X14" s="356">
        <v>5</v>
      </c>
      <c r="Y14" s="111">
        <v>16</v>
      </c>
      <c r="Z14" s="1003"/>
      <c r="AA14" s="589"/>
      <c r="AB14" s="600">
        <f t="shared" si="1"/>
        <v>12.8</v>
      </c>
      <c r="AC14" s="602">
        <f t="shared" si="0"/>
        <v>2.5</v>
      </c>
    </row>
    <row r="15" spans="1:29" ht="12" x14ac:dyDescent="0.2">
      <c r="B15" s="46" t="s">
        <v>157</v>
      </c>
      <c r="C15" s="796"/>
      <c r="D15" s="797"/>
      <c r="E15" s="13"/>
      <c r="F15" s="14"/>
      <c r="G15" s="279"/>
      <c r="H15" s="356"/>
      <c r="I15" s="111"/>
      <c r="J15" s="430"/>
      <c r="K15" s="279"/>
      <c r="L15" s="430"/>
      <c r="M15" s="279"/>
      <c r="N15" s="356"/>
      <c r="O15" s="111"/>
      <c r="P15" s="356"/>
      <c r="Q15" s="111"/>
      <c r="R15" s="356"/>
      <c r="S15" s="111"/>
      <c r="T15" s="356"/>
      <c r="U15" s="111"/>
      <c r="V15" s="356"/>
      <c r="W15" s="111"/>
      <c r="X15" s="356"/>
      <c r="Y15" s="111"/>
      <c r="Z15" s="1003"/>
      <c r="AA15" s="589"/>
      <c r="AB15" s="600"/>
      <c r="AC15" s="602"/>
    </row>
    <row r="16" spans="1:29" ht="12" x14ac:dyDescent="0.2">
      <c r="B16" s="551" t="s">
        <v>152</v>
      </c>
      <c r="C16" s="13">
        <v>86</v>
      </c>
      <c r="D16" s="110">
        <v>23</v>
      </c>
      <c r="E16" s="13">
        <v>86</v>
      </c>
      <c r="F16" s="14">
        <v>36</v>
      </c>
      <c r="G16" s="279">
        <v>73</v>
      </c>
      <c r="H16" s="356">
        <v>33</v>
      </c>
      <c r="I16" s="111">
        <v>83</v>
      </c>
      <c r="J16" s="430">
        <v>26</v>
      </c>
      <c r="K16" s="279">
        <v>82</v>
      </c>
      <c r="L16" s="430">
        <f>37+1</f>
        <v>38</v>
      </c>
      <c r="M16" s="279">
        <v>73</v>
      </c>
      <c r="N16" s="356">
        <v>33</v>
      </c>
      <c r="O16" s="111">
        <v>56</v>
      </c>
      <c r="P16" s="356">
        <v>31</v>
      </c>
      <c r="Q16" s="111">
        <v>58</v>
      </c>
      <c r="R16" s="356">
        <v>24</v>
      </c>
      <c r="S16" s="111">
        <v>57</v>
      </c>
      <c r="T16" s="356">
        <v>25</v>
      </c>
      <c r="U16" s="111">
        <v>64</v>
      </c>
      <c r="V16" s="356">
        <v>28</v>
      </c>
      <c r="W16" s="111">
        <v>72</v>
      </c>
      <c r="X16" s="356">
        <v>32</v>
      </c>
      <c r="Y16" s="111">
        <v>82</v>
      </c>
      <c r="Z16" s="1003"/>
      <c r="AA16" s="589"/>
      <c r="AB16" s="600">
        <f t="shared" ref="AB16:AC16" si="2">AVERAGE(W16,U16,S16,Q16,Y16)</f>
        <v>66.599999999999994</v>
      </c>
      <c r="AC16" s="602">
        <f t="shared" si="2"/>
        <v>27.25</v>
      </c>
    </row>
    <row r="17" spans="2:30" hidden="1" x14ac:dyDescent="0.2">
      <c r="V17" s="245"/>
      <c r="X17" s="245"/>
      <c r="AB17" s="1" t="e">
        <f t="shared" ref="AB17:AB18" si="3">AVERAGE(W17,U17,S17,Q17,O17)</f>
        <v>#DIV/0!</v>
      </c>
      <c r="AC17" s="1" t="e">
        <f t="shared" ref="AC17:AC18" si="4">AVERAGE(V17,T17,R17,P17,N17)</f>
        <v>#DIV/0!</v>
      </c>
    </row>
    <row r="18" spans="2:30" hidden="1" x14ac:dyDescent="0.2">
      <c r="V18" s="245"/>
      <c r="X18" s="245"/>
      <c r="AB18" s="1" t="e">
        <f t="shared" si="3"/>
        <v>#DIV/0!</v>
      </c>
      <c r="AC18" s="1" t="e">
        <f t="shared" si="4"/>
        <v>#DIV/0!</v>
      </c>
    </row>
    <row r="19" spans="2:30" ht="12" x14ac:dyDescent="0.2">
      <c r="B19" s="580" t="s">
        <v>113</v>
      </c>
      <c r="C19" s="13"/>
      <c r="D19" s="110"/>
      <c r="E19" s="13"/>
      <c r="F19" s="14"/>
      <c r="G19" s="279"/>
      <c r="H19" s="356"/>
      <c r="I19" s="111"/>
      <c r="J19" s="430"/>
      <c r="K19" s="279"/>
      <c r="L19" s="430"/>
      <c r="M19" s="279"/>
      <c r="N19" s="356"/>
      <c r="O19" s="111"/>
      <c r="P19" s="356"/>
      <c r="Q19" s="111"/>
      <c r="R19" s="356"/>
      <c r="S19" s="111"/>
      <c r="T19" s="356"/>
      <c r="U19" s="111"/>
      <c r="V19" s="356"/>
      <c r="W19" s="111"/>
      <c r="X19" s="356"/>
      <c r="Y19" s="111"/>
      <c r="Z19" s="1003"/>
      <c r="AA19" s="589"/>
      <c r="AB19" s="600"/>
      <c r="AC19" s="602"/>
    </row>
    <row r="20" spans="2:30" ht="12" x14ac:dyDescent="0.2">
      <c r="B20" s="579" t="s">
        <v>112</v>
      </c>
      <c r="C20" s="137">
        <v>48</v>
      </c>
      <c r="D20" s="40">
        <v>5</v>
      </c>
      <c r="E20" s="137">
        <v>74</v>
      </c>
      <c r="F20" s="56">
        <v>19</v>
      </c>
      <c r="G20" s="319">
        <v>72</v>
      </c>
      <c r="H20" s="426">
        <v>23</v>
      </c>
      <c r="I20" s="404">
        <v>61</v>
      </c>
      <c r="J20" s="562">
        <v>18</v>
      </c>
      <c r="K20" s="319">
        <v>62</v>
      </c>
      <c r="L20" s="562">
        <v>23</v>
      </c>
      <c r="M20" s="319">
        <v>51</v>
      </c>
      <c r="N20" s="426">
        <v>12</v>
      </c>
      <c r="O20" s="404">
        <v>52</v>
      </c>
      <c r="P20" s="426">
        <v>22</v>
      </c>
      <c r="Q20" s="404">
        <v>46</v>
      </c>
      <c r="R20" s="426">
        <v>12</v>
      </c>
      <c r="S20" s="404">
        <v>46</v>
      </c>
      <c r="T20" s="426">
        <v>13</v>
      </c>
      <c r="U20" s="404">
        <v>35</v>
      </c>
      <c r="V20" s="426">
        <v>11</v>
      </c>
      <c r="W20" s="404">
        <v>32</v>
      </c>
      <c r="X20" s="426">
        <v>10</v>
      </c>
      <c r="Y20" s="404">
        <v>30</v>
      </c>
      <c r="Z20" s="1013"/>
      <c r="AA20" s="930"/>
      <c r="AB20" s="600">
        <f t="shared" ref="AB20:AC22" si="5">AVERAGE(W20,U20,S20,Q20,Y20)</f>
        <v>37.799999999999997</v>
      </c>
      <c r="AC20" s="602">
        <f t="shared" si="5"/>
        <v>11.5</v>
      </c>
    </row>
    <row r="21" spans="2:30" ht="12" x14ac:dyDescent="0.2">
      <c r="B21" s="580" t="s">
        <v>167</v>
      </c>
      <c r="C21" s="798"/>
      <c r="D21" s="63"/>
      <c r="E21" s="798"/>
      <c r="F21" s="799"/>
      <c r="G21" s="800"/>
      <c r="H21" s="801"/>
      <c r="I21" s="802"/>
      <c r="J21" s="803"/>
      <c r="K21" s="800"/>
      <c r="L21" s="803"/>
      <c r="M21" s="800"/>
      <c r="N21" s="801"/>
      <c r="O21" s="802"/>
      <c r="P21" s="801"/>
      <c r="Q21" s="802"/>
      <c r="R21" s="801"/>
      <c r="S21" s="802"/>
      <c r="T21" s="801"/>
      <c r="U21" s="802"/>
      <c r="V21" s="801"/>
      <c r="W21" s="802"/>
      <c r="X21" s="801"/>
      <c r="Y21" s="802"/>
      <c r="Z21" s="1006"/>
      <c r="AA21" s="930"/>
      <c r="AB21" s="600"/>
      <c r="AC21" s="602"/>
    </row>
    <row r="22" spans="2:30" ht="12" x14ac:dyDescent="0.2">
      <c r="B22" s="579" t="s">
        <v>112</v>
      </c>
      <c r="C22" s="798"/>
      <c r="D22" s="63"/>
      <c r="E22" s="804"/>
      <c r="F22" s="806"/>
      <c r="G22" s="807"/>
      <c r="H22" s="805"/>
      <c r="I22" s="804"/>
      <c r="J22" s="806"/>
      <c r="K22" s="1004"/>
      <c r="L22" s="1005"/>
      <c r="M22" s="1004"/>
      <c r="N22" s="1006"/>
      <c r="O22" s="802">
        <v>5</v>
      </c>
      <c r="P22" s="801">
        <v>6</v>
      </c>
      <c r="Q22" s="802">
        <v>5</v>
      </c>
      <c r="R22" s="801">
        <v>3</v>
      </c>
      <c r="S22" s="802">
        <v>17</v>
      </c>
      <c r="T22" s="801">
        <v>10</v>
      </c>
      <c r="U22" s="802">
        <v>26</v>
      </c>
      <c r="V22" s="801">
        <v>13</v>
      </c>
      <c r="W22" s="802">
        <v>27</v>
      </c>
      <c r="X22" s="801">
        <v>14</v>
      </c>
      <c r="Y22" s="802">
        <v>37</v>
      </c>
      <c r="Z22" s="1006"/>
      <c r="AA22" s="930"/>
      <c r="AB22" s="600">
        <f t="shared" si="5"/>
        <v>22.4</v>
      </c>
      <c r="AC22" s="997">
        <f t="shared" si="5"/>
        <v>10</v>
      </c>
    </row>
    <row r="23" spans="2:30" ht="12" x14ac:dyDescent="0.2">
      <c r="B23" s="580" t="s">
        <v>160</v>
      </c>
      <c r="C23" s="798"/>
      <c r="D23" s="63"/>
      <c r="E23" s="798"/>
      <c r="F23" s="799"/>
      <c r="G23" s="800"/>
      <c r="H23" s="801"/>
      <c r="I23" s="802"/>
      <c r="J23" s="803"/>
      <c r="K23" s="800"/>
      <c r="L23" s="803"/>
      <c r="M23" s="800"/>
      <c r="N23" s="801"/>
      <c r="O23" s="802"/>
      <c r="P23" s="801"/>
      <c r="Q23" s="802"/>
      <c r="R23" s="801"/>
      <c r="S23" s="802"/>
      <c r="T23" s="801"/>
      <c r="U23" s="802"/>
      <c r="V23" s="801"/>
      <c r="W23" s="802"/>
      <c r="X23" s="801"/>
      <c r="Y23" s="802"/>
      <c r="Z23" s="1006"/>
      <c r="AA23" s="930"/>
      <c r="AB23" s="600"/>
      <c r="AC23" s="602"/>
    </row>
    <row r="24" spans="2:30" ht="12" x14ac:dyDescent="0.2">
      <c r="B24" s="579" t="s">
        <v>158</v>
      </c>
      <c r="C24" s="804"/>
      <c r="D24" s="805"/>
      <c r="E24" s="804"/>
      <c r="F24" s="806"/>
      <c r="G24" s="807"/>
      <c r="H24" s="805"/>
      <c r="I24" s="802">
        <v>0</v>
      </c>
      <c r="J24" s="803">
        <v>0</v>
      </c>
      <c r="K24" s="800">
        <v>1</v>
      </c>
      <c r="L24" s="803">
        <v>0</v>
      </c>
      <c r="M24" s="800">
        <v>3</v>
      </c>
      <c r="N24" s="801">
        <v>2</v>
      </c>
      <c r="O24" s="802">
        <v>6</v>
      </c>
      <c r="P24" s="801">
        <v>3</v>
      </c>
      <c r="Q24" s="802">
        <v>3</v>
      </c>
      <c r="R24" s="801">
        <v>0</v>
      </c>
      <c r="S24" s="802">
        <v>3</v>
      </c>
      <c r="T24" s="801">
        <v>1</v>
      </c>
      <c r="U24" s="802">
        <v>7</v>
      </c>
      <c r="V24" s="801">
        <v>0</v>
      </c>
      <c r="W24" s="802">
        <v>2</v>
      </c>
      <c r="X24" s="801">
        <v>0</v>
      </c>
      <c r="Y24" s="802">
        <v>5</v>
      </c>
      <c r="Z24" s="1006"/>
      <c r="AA24" s="930"/>
      <c r="AB24" s="600">
        <f t="shared" ref="AB24:AC24" si="6">AVERAGE(W24,U24,S24,Q24,Y24)</f>
        <v>4</v>
      </c>
      <c r="AC24" s="602">
        <f t="shared" si="6"/>
        <v>0.25</v>
      </c>
    </row>
    <row r="25" spans="2:30" ht="12" x14ac:dyDescent="0.2">
      <c r="B25" s="1123" t="s">
        <v>174</v>
      </c>
      <c r="C25" s="804"/>
      <c r="D25" s="805"/>
      <c r="E25" s="804"/>
      <c r="F25" s="806"/>
      <c r="G25" s="800"/>
      <c r="H25" s="801"/>
      <c r="I25" s="802"/>
      <c r="J25" s="803"/>
      <c r="K25" s="800"/>
      <c r="L25" s="803"/>
      <c r="M25" s="800"/>
      <c r="N25" s="801"/>
      <c r="O25" s="802"/>
      <c r="P25" s="801"/>
      <c r="Q25" s="802"/>
      <c r="R25" s="801"/>
      <c r="S25" s="802"/>
      <c r="T25" s="801"/>
      <c r="U25" s="802"/>
      <c r="V25" s="801"/>
      <c r="W25" s="802"/>
      <c r="X25" s="801"/>
      <c r="Y25" s="802"/>
      <c r="Z25" s="1006"/>
      <c r="AA25" s="930"/>
      <c r="AB25" s="600"/>
      <c r="AC25" s="602"/>
    </row>
    <row r="26" spans="2:30" ht="12" x14ac:dyDescent="0.2">
      <c r="B26" s="1124" t="s">
        <v>158</v>
      </c>
      <c r="C26" s="804"/>
      <c r="D26" s="805"/>
      <c r="E26" s="804"/>
      <c r="F26" s="806"/>
      <c r="G26" s="933"/>
      <c r="H26" s="934"/>
      <c r="I26" s="935"/>
      <c r="J26" s="936"/>
      <c r="K26" s="1004"/>
      <c r="L26" s="1005"/>
      <c r="M26" s="1004"/>
      <c r="N26" s="1006"/>
      <c r="O26" s="1020"/>
      <c r="P26" s="1006"/>
      <c r="Q26" s="802">
        <v>1</v>
      </c>
      <c r="R26" s="801">
        <v>0</v>
      </c>
      <c r="S26" s="802">
        <v>1</v>
      </c>
      <c r="T26" s="801">
        <v>1</v>
      </c>
      <c r="U26" s="802">
        <v>2</v>
      </c>
      <c r="V26" s="801">
        <v>0</v>
      </c>
      <c r="W26" s="802">
        <v>0</v>
      </c>
      <c r="X26" s="801">
        <v>0</v>
      </c>
      <c r="Y26" s="802">
        <v>0</v>
      </c>
      <c r="Z26" s="1006"/>
      <c r="AA26" s="930"/>
      <c r="AB26" s="600">
        <f t="shared" ref="AB26:AC26" si="7">AVERAGE(W26,U26,S26,Q26,Y26)</f>
        <v>0.8</v>
      </c>
      <c r="AC26" s="602">
        <f t="shared" si="7"/>
        <v>0.25</v>
      </c>
    </row>
    <row r="27" spans="2:30" ht="12" x14ac:dyDescent="0.2">
      <c r="B27" s="553" t="s">
        <v>159</v>
      </c>
      <c r="C27" s="13"/>
      <c r="D27" s="63"/>
      <c r="E27" s="13"/>
      <c r="F27" s="14"/>
      <c r="G27" s="279"/>
      <c r="H27" s="356"/>
      <c r="I27" s="111"/>
      <c r="J27" s="430"/>
      <c r="K27" s="279"/>
      <c r="L27" s="430"/>
      <c r="M27" s="279"/>
      <c r="N27" s="356"/>
      <c r="O27" s="111"/>
      <c r="P27" s="356"/>
      <c r="Q27" s="111"/>
      <c r="R27" s="356"/>
      <c r="S27" s="111"/>
      <c r="T27" s="356"/>
      <c r="U27" s="111"/>
      <c r="V27" s="356"/>
      <c r="W27" s="111"/>
      <c r="X27" s="356"/>
      <c r="Y27" s="111"/>
      <c r="Z27" s="1003"/>
      <c r="AA27" s="589"/>
      <c r="AB27" s="600"/>
      <c r="AC27" s="602"/>
    </row>
    <row r="28" spans="2:30" ht="12" x14ac:dyDescent="0.2">
      <c r="B28" s="47" t="s">
        <v>29</v>
      </c>
      <c r="C28" s="20">
        <v>1497</v>
      </c>
      <c r="D28" s="32" t="s">
        <v>27</v>
      </c>
      <c r="E28" s="112">
        <f>1348+22</f>
        <v>1370</v>
      </c>
      <c r="F28" s="32" t="s">
        <v>27</v>
      </c>
      <c r="G28" s="320">
        <v>1270</v>
      </c>
      <c r="H28" s="425" t="s">
        <v>27</v>
      </c>
      <c r="I28" s="405">
        <v>1358</v>
      </c>
      <c r="J28" s="431" t="s">
        <v>27</v>
      </c>
      <c r="K28" s="320">
        <v>1394</v>
      </c>
      <c r="L28" s="431" t="s">
        <v>27</v>
      </c>
      <c r="M28" s="320">
        <f>16+1+1432</f>
        <v>1449</v>
      </c>
      <c r="N28" s="425" t="s">
        <v>27</v>
      </c>
      <c r="O28" s="405">
        <v>1438</v>
      </c>
      <c r="P28" s="425" t="s">
        <v>27</v>
      </c>
      <c r="Q28" s="405">
        <v>1382</v>
      </c>
      <c r="R28" s="425" t="s">
        <v>27</v>
      </c>
      <c r="S28" s="405">
        <v>1436</v>
      </c>
      <c r="T28" s="425" t="s">
        <v>27</v>
      </c>
      <c r="U28" s="405">
        <v>1390</v>
      </c>
      <c r="V28" s="425" t="s">
        <v>27</v>
      </c>
      <c r="W28" s="405">
        <v>1341</v>
      </c>
      <c r="X28" s="425" t="s">
        <v>27</v>
      </c>
      <c r="Y28" s="405">
        <v>1450</v>
      </c>
      <c r="Z28" s="1014"/>
      <c r="AA28" s="258"/>
      <c r="AB28" s="600">
        <f>AVERAGE(W28,U28,S28,Q28,Y28)</f>
        <v>1399.8</v>
      </c>
      <c r="AC28" s="1021"/>
      <c r="AD28" s="59"/>
    </row>
    <row r="29" spans="2:30" ht="12" x14ac:dyDescent="0.2">
      <c r="B29" s="46" t="s">
        <v>162</v>
      </c>
      <c r="C29" s="10"/>
      <c r="D29" s="29"/>
      <c r="E29" s="10"/>
      <c r="F29" s="29"/>
      <c r="G29" s="271"/>
      <c r="H29" s="391"/>
      <c r="I29" s="346"/>
      <c r="J29" s="122"/>
      <c r="K29" s="271"/>
      <c r="L29" s="122"/>
      <c r="M29" s="271"/>
      <c r="N29" s="391"/>
      <c r="O29" s="346"/>
      <c r="P29" s="391"/>
      <c r="Q29" s="346"/>
      <c r="R29" s="391"/>
      <c r="S29" s="346"/>
      <c r="T29" s="391"/>
      <c r="U29" s="346"/>
      <c r="V29" s="391"/>
      <c r="W29" s="346"/>
      <c r="X29" s="391"/>
      <c r="Y29" s="346"/>
      <c r="Z29" s="1015"/>
      <c r="AA29" s="589"/>
      <c r="AB29" s="600"/>
      <c r="AC29" s="1022"/>
      <c r="AD29" s="59"/>
    </row>
    <row r="30" spans="2:30" thickBot="1" x14ac:dyDescent="0.25">
      <c r="B30" s="886" t="s">
        <v>29</v>
      </c>
      <c r="C30" s="11">
        <v>11</v>
      </c>
      <c r="D30" s="41" t="s">
        <v>27</v>
      </c>
      <c r="E30" s="210">
        <f>14+1</f>
        <v>15</v>
      </c>
      <c r="F30" s="41" t="s">
        <v>27</v>
      </c>
      <c r="G30" s="319">
        <v>8</v>
      </c>
      <c r="H30" s="937" t="s">
        <v>27</v>
      </c>
      <c r="I30" s="404">
        <v>4</v>
      </c>
      <c r="J30" s="938" t="s">
        <v>27</v>
      </c>
      <c r="K30" s="319">
        <v>11</v>
      </c>
      <c r="L30" s="938" t="s">
        <v>27</v>
      </c>
      <c r="M30" s="319">
        <v>15</v>
      </c>
      <c r="N30" s="937" t="s">
        <v>27</v>
      </c>
      <c r="O30" s="404">
        <v>23</v>
      </c>
      <c r="P30" s="937" t="s">
        <v>27</v>
      </c>
      <c r="Q30" s="404">
        <v>17</v>
      </c>
      <c r="R30" s="937" t="s">
        <v>27</v>
      </c>
      <c r="S30" s="404">
        <v>16</v>
      </c>
      <c r="T30" s="937" t="s">
        <v>27</v>
      </c>
      <c r="U30" s="404">
        <v>8</v>
      </c>
      <c r="V30" s="937" t="s">
        <v>27</v>
      </c>
      <c r="W30" s="404">
        <v>9</v>
      </c>
      <c r="X30" s="425" t="s">
        <v>27</v>
      </c>
      <c r="Y30" s="404">
        <v>10</v>
      </c>
      <c r="Z30" s="1016"/>
      <c r="AA30" s="258"/>
      <c r="AB30" s="965">
        <f>AVERAGE(W30,U30,S30,Q30,Y30)</f>
        <v>12</v>
      </c>
      <c r="AC30" s="1021"/>
    </row>
    <row r="31" spans="2:30" thickTop="1" x14ac:dyDescent="0.2">
      <c r="B31" s="46" t="s">
        <v>175</v>
      </c>
      <c r="C31" s="10"/>
      <c r="D31" s="29"/>
      <c r="E31" s="10"/>
      <c r="F31" s="29"/>
      <c r="G31" s="279"/>
      <c r="H31" s="356"/>
      <c r="I31" s="111"/>
      <c r="J31" s="430"/>
      <c r="K31" s="279"/>
      <c r="L31" s="430"/>
      <c r="M31" s="279"/>
      <c r="N31" s="356"/>
      <c r="O31" s="111"/>
      <c r="P31" s="356"/>
      <c r="Q31" s="111"/>
      <c r="R31" s="356"/>
      <c r="S31" s="111"/>
      <c r="T31" s="356"/>
      <c r="U31" s="111"/>
      <c r="V31" s="356"/>
      <c r="W31" s="111"/>
      <c r="X31" s="356"/>
      <c r="Y31" s="111"/>
      <c r="Z31" s="1003"/>
      <c r="AA31" s="589"/>
      <c r="AB31" s="600"/>
      <c r="AC31" s="1022"/>
      <c r="AD31" s="59"/>
    </row>
    <row r="32" spans="2:30" thickBot="1" x14ac:dyDescent="0.25">
      <c r="B32" s="48" t="s">
        <v>168</v>
      </c>
      <c r="C32" s="11">
        <v>12</v>
      </c>
      <c r="D32" s="41" t="s">
        <v>27</v>
      </c>
      <c r="E32" s="854">
        <f>14+1</f>
        <v>15</v>
      </c>
      <c r="F32" s="855" t="s">
        <v>27</v>
      </c>
      <c r="G32" s="856">
        <v>9</v>
      </c>
      <c r="H32" s="857" t="s">
        <v>27</v>
      </c>
      <c r="I32" s="854">
        <v>5</v>
      </c>
      <c r="J32" s="858" t="s">
        <v>27</v>
      </c>
      <c r="K32" s="1007">
        <v>12</v>
      </c>
      <c r="L32" s="1008" t="s">
        <v>27</v>
      </c>
      <c r="M32" s="321">
        <v>9</v>
      </c>
      <c r="N32" s="1009" t="s">
        <v>27</v>
      </c>
      <c r="O32" s="210">
        <v>4</v>
      </c>
      <c r="P32" s="397" t="s">
        <v>27</v>
      </c>
      <c r="Q32" s="210">
        <v>1</v>
      </c>
      <c r="R32" s="397" t="s">
        <v>27</v>
      </c>
      <c r="S32" s="210">
        <v>2</v>
      </c>
      <c r="T32" s="397" t="s">
        <v>27</v>
      </c>
      <c r="U32" s="210">
        <v>3</v>
      </c>
      <c r="V32" s="397" t="s">
        <v>27</v>
      </c>
      <c r="W32" s="210">
        <v>3</v>
      </c>
      <c r="X32" s="397" t="s">
        <v>27</v>
      </c>
      <c r="Y32" s="210">
        <v>0</v>
      </c>
      <c r="Z32" s="1009"/>
      <c r="AA32" s="258"/>
      <c r="AB32" s="603">
        <f>AVERAGE(W32,U32,S32,Q32,Y32)</f>
        <v>1.8</v>
      </c>
      <c r="AC32" s="1023"/>
    </row>
    <row r="33" spans="1:32" thickTop="1" x14ac:dyDescent="0.2">
      <c r="B33" s="133" t="s">
        <v>150</v>
      </c>
      <c r="C33" s="58"/>
      <c r="D33" s="61"/>
      <c r="E33" s="58"/>
      <c r="F33" s="61"/>
      <c r="G33" s="249"/>
      <c r="H33" s="250"/>
      <c r="I33" s="249"/>
      <c r="J33" s="250"/>
      <c r="K33" s="249"/>
      <c r="L33" s="250"/>
      <c r="M33" s="249"/>
      <c r="N33" s="250"/>
      <c r="O33" s="249"/>
      <c r="P33" s="250"/>
      <c r="Q33" s="249"/>
      <c r="R33" s="250"/>
      <c r="S33" s="249"/>
      <c r="T33" s="250"/>
      <c r="U33" s="249"/>
      <c r="V33" s="250"/>
      <c r="W33" s="249"/>
      <c r="X33" s="250"/>
      <c r="Y33" s="249"/>
      <c r="Z33" s="250"/>
      <c r="AA33" s="250"/>
      <c r="AC33" s="605"/>
    </row>
    <row r="34" spans="1:32" thickBot="1" x14ac:dyDescent="0.25">
      <c r="C34" s="58"/>
      <c r="D34" s="61"/>
      <c r="E34" s="58"/>
      <c r="F34" s="61"/>
      <c r="G34" s="249"/>
      <c r="H34" s="250"/>
      <c r="I34" s="249"/>
      <c r="J34" s="250"/>
      <c r="K34" s="249"/>
      <c r="L34" s="250"/>
      <c r="M34" s="249"/>
      <c r="N34" s="250"/>
      <c r="O34" s="249"/>
      <c r="P34" s="250"/>
      <c r="Q34" s="249"/>
      <c r="R34" s="250"/>
      <c r="S34" s="249"/>
      <c r="T34" s="250"/>
      <c r="U34" s="249"/>
      <c r="V34" s="250"/>
      <c r="W34" s="249"/>
      <c r="X34" s="250"/>
      <c r="Y34" s="249"/>
      <c r="Z34" s="250"/>
      <c r="AA34" s="250"/>
      <c r="AB34" s="12"/>
      <c r="AC34" s="12"/>
    </row>
    <row r="35" spans="1:32" ht="13.5" thickTop="1" thickBot="1" x14ac:dyDescent="0.25">
      <c r="B35" s="866"/>
      <c r="C35" s="1151" t="s">
        <v>39</v>
      </c>
      <c r="D35" s="1152"/>
      <c r="E35" s="1153" t="s">
        <v>40</v>
      </c>
      <c r="F35" s="1153"/>
      <c r="G35" s="1150" t="s">
        <v>97</v>
      </c>
      <c r="H35" s="1134"/>
      <c r="I35" s="1133" t="s">
        <v>108</v>
      </c>
      <c r="J35" s="1133"/>
      <c r="K35" s="1150" t="s">
        <v>109</v>
      </c>
      <c r="L35" s="1133"/>
      <c r="M35" s="1150" t="s">
        <v>111</v>
      </c>
      <c r="N35" s="1134"/>
      <c r="O35" s="1133" t="s">
        <v>164</v>
      </c>
      <c r="P35" s="1134"/>
      <c r="Q35" s="1133" t="s">
        <v>169</v>
      </c>
      <c r="R35" s="1134"/>
      <c r="S35" s="1133" t="s">
        <v>176</v>
      </c>
      <c r="T35" s="1134"/>
      <c r="U35" s="1133" t="s">
        <v>179</v>
      </c>
      <c r="V35" s="1134"/>
      <c r="W35" s="1133" t="s">
        <v>183</v>
      </c>
      <c r="X35" s="1134"/>
      <c r="Y35" s="1133" t="s">
        <v>187</v>
      </c>
      <c r="Z35" s="1134"/>
      <c r="AA35" s="606"/>
      <c r="AB35" s="1170" t="s">
        <v>118</v>
      </c>
      <c r="AC35" s="1171"/>
    </row>
    <row r="36" spans="1:32" ht="12" x14ac:dyDescent="0.2">
      <c r="B36" s="45" t="s">
        <v>6</v>
      </c>
      <c r="C36" s="149"/>
      <c r="D36" s="150"/>
      <c r="E36" s="33"/>
      <c r="F36" s="33"/>
      <c r="G36" s="280"/>
      <c r="H36" s="360"/>
      <c r="I36" s="358"/>
      <c r="J36" s="358"/>
      <c r="K36" s="280"/>
      <c r="L36" s="358"/>
      <c r="M36" s="280"/>
      <c r="N36" s="360"/>
      <c r="O36" s="358"/>
      <c r="P36" s="360"/>
      <c r="Q36" s="358"/>
      <c r="R36" s="360"/>
      <c r="S36" s="358"/>
      <c r="T36" s="360"/>
      <c r="U36" s="358"/>
      <c r="V36" s="360"/>
      <c r="W36" s="358"/>
      <c r="X36" s="360"/>
      <c r="Y36" s="358"/>
      <c r="Z36" s="360"/>
      <c r="AA36" s="589"/>
      <c r="AC36" s="583"/>
    </row>
    <row r="37" spans="1:32" ht="12" x14ac:dyDescent="0.2">
      <c r="B37" s="49" t="s">
        <v>7</v>
      </c>
      <c r="C37" s="151"/>
      <c r="D37" s="152"/>
      <c r="E37" s="33"/>
      <c r="F37" s="33"/>
      <c r="G37" s="280"/>
      <c r="H37" s="360"/>
      <c r="I37" s="358"/>
      <c r="J37" s="358"/>
      <c r="K37" s="280"/>
      <c r="L37" s="358"/>
      <c r="M37" s="280"/>
      <c r="N37" s="360"/>
      <c r="O37" s="358"/>
      <c r="P37" s="360"/>
      <c r="Q37" s="358"/>
      <c r="R37" s="360"/>
      <c r="S37" s="358"/>
      <c r="T37" s="360"/>
      <c r="U37" s="358"/>
      <c r="V37" s="360"/>
      <c r="W37" s="358"/>
      <c r="X37" s="360"/>
      <c r="Y37" s="358"/>
      <c r="Z37" s="360"/>
      <c r="AA37" s="589"/>
      <c r="AC37" s="583"/>
    </row>
    <row r="38" spans="1:32" ht="12" x14ac:dyDescent="0.2">
      <c r="B38" s="49" t="s">
        <v>8</v>
      </c>
      <c r="C38" s="151"/>
      <c r="D38" s="153">
        <v>7</v>
      </c>
      <c r="E38" s="33"/>
      <c r="F38" s="33">
        <v>0</v>
      </c>
      <c r="G38" s="280"/>
      <c r="H38" s="360">
        <v>0</v>
      </c>
      <c r="I38" s="358"/>
      <c r="J38" s="358">
        <v>0</v>
      </c>
      <c r="K38" s="280"/>
      <c r="L38" s="358">
        <v>35</v>
      </c>
      <c r="M38" s="280"/>
      <c r="N38" s="360">
        <v>23</v>
      </c>
      <c r="O38" s="358"/>
      <c r="P38" s="360">
        <v>21</v>
      </c>
      <c r="Q38" s="358"/>
      <c r="R38" s="360">
        <v>351</v>
      </c>
      <c r="S38" s="358"/>
      <c r="T38" s="360">
        <v>2532</v>
      </c>
      <c r="U38" s="358"/>
      <c r="V38" s="360">
        <v>2585</v>
      </c>
      <c r="W38" s="358"/>
      <c r="X38" s="360">
        <v>2563</v>
      </c>
      <c r="Y38" s="358"/>
      <c r="Z38" s="1095"/>
      <c r="AA38" s="589"/>
      <c r="AC38" s="601">
        <f t="shared" ref="AC38:AC42" si="8">AVERAGE(X38,V38,T38,R38,Z38)</f>
        <v>2007.75</v>
      </c>
    </row>
    <row r="39" spans="1:32" ht="12" x14ac:dyDescent="0.2">
      <c r="B39" s="49" t="s">
        <v>9</v>
      </c>
      <c r="C39" s="151"/>
      <c r="D39" s="153">
        <v>118</v>
      </c>
      <c r="E39" s="33"/>
      <c r="F39" s="33">
        <v>178</v>
      </c>
      <c r="G39" s="280"/>
      <c r="H39" s="360">
        <v>138</v>
      </c>
      <c r="I39" s="358"/>
      <c r="J39" s="358">
        <v>13</v>
      </c>
      <c r="K39" s="280"/>
      <c r="L39" s="358">
        <v>10</v>
      </c>
      <c r="M39" s="280"/>
      <c r="N39" s="360">
        <v>13</v>
      </c>
      <c r="O39" s="358"/>
      <c r="P39" s="360">
        <v>18</v>
      </c>
      <c r="Q39" s="358"/>
      <c r="R39" s="360">
        <v>27</v>
      </c>
      <c r="S39" s="358"/>
      <c r="T39" s="360">
        <v>27</v>
      </c>
      <c r="U39" s="358"/>
      <c r="V39" s="360">
        <v>794</v>
      </c>
      <c r="W39" s="358"/>
      <c r="X39" s="360">
        <v>40</v>
      </c>
      <c r="Y39" s="358"/>
      <c r="Z39" s="1095"/>
      <c r="AA39" s="589"/>
      <c r="AC39" s="601">
        <f t="shared" si="8"/>
        <v>222</v>
      </c>
    </row>
    <row r="40" spans="1:32" ht="12" x14ac:dyDescent="0.2">
      <c r="B40" s="49" t="s">
        <v>10</v>
      </c>
      <c r="C40" s="151"/>
      <c r="D40" s="153">
        <v>156</v>
      </c>
      <c r="E40" s="33"/>
      <c r="F40" s="33">
        <v>182</v>
      </c>
      <c r="G40" s="280"/>
      <c r="H40" s="360">
        <v>207</v>
      </c>
      <c r="I40" s="358"/>
      <c r="J40" s="358">
        <v>166</v>
      </c>
      <c r="K40" s="280"/>
      <c r="L40" s="358">
        <v>247</v>
      </c>
      <c r="M40" s="280"/>
      <c r="N40" s="360">
        <v>226</v>
      </c>
      <c r="O40" s="358"/>
      <c r="P40" s="360">
        <v>222</v>
      </c>
      <c r="Q40" s="358"/>
      <c r="R40" s="360">
        <v>136</v>
      </c>
      <c r="S40" s="358"/>
      <c r="T40" s="360">
        <v>179</v>
      </c>
      <c r="U40" s="358"/>
      <c r="V40" s="360">
        <v>185</v>
      </c>
      <c r="W40" s="358"/>
      <c r="X40" s="360">
        <v>186</v>
      </c>
      <c r="Y40" s="358"/>
      <c r="Z40" s="1095"/>
      <c r="AA40" s="589"/>
      <c r="AC40" s="601">
        <f t="shared" si="8"/>
        <v>171.5</v>
      </c>
    </row>
    <row r="41" spans="1:32" ht="12" x14ac:dyDescent="0.2">
      <c r="B41" s="49" t="s">
        <v>11</v>
      </c>
      <c r="C41" s="151"/>
      <c r="D41" s="153">
        <v>0</v>
      </c>
      <c r="E41" s="33"/>
      <c r="F41" s="33">
        <v>0</v>
      </c>
      <c r="G41" s="280"/>
      <c r="H41" s="360">
        <v>0</v>
      </c>
      <c r="I41" s="358"/>
      <c r="J41" s="358">
        <v>0</v>
      </c>
      <c r="K41" s="280"/>
      <c r="L41" s="358">
        <v>0</v>
      </c>
      <c r="M41" s="280"/>
      <c r="N41" s="360">
        <v>0</v>
      </c>
      <c r="O41" s="358"/>
      <c r="P41" s="360">
        <v>0</v>
      </c>
      <c r="Q41" s="358"/>
      <c r="R41" s="360">
        <v>0</v>
      </c>
      <c r="S41" s="358"/>
      <c r="T41" s="360">
        <v>0</v>
      </c>
      <c r="U41" s="358"/>
      <c r="V41" s="360">
        <v>0</v>
      </c>
      <c r="W41" s="358"/>
      <c r="X41" s="360">
        <v>0</v>
      </c>
      <c r="Y41" s="358"/>
      <c r="Z41" s="1095"/>
      <c r="AA41" s="589"/>
      <c r="AC41" s="601">
        <f t="shared" si="8"/>
        <v>0</v>
      </c>
    </row>
    <row r="42" spans="1:32" thickBot="1" x14ac:dyDescent="0.25">
      <c r="B42" s="50" t="s">
        <v>12</v>
      </c>
      <c r="C42" s="154"/>
      <c r="D42" s="155">
        <f>SUM(D38:D41)</f>
        <v>281</v>
      </c>
      <c r="E42" s="35"/>
      <c r="F42" s="35">
        <f>SUM(F38:F41)</f>
        <v>360</v>
      </c>
      <c r="G42" s="303"/>
      <c r="H42" s="406">
        <f>SUM(H38:H41)</f>
        <v>345</v>
      </c>
      <c r="I42" s="359"/>
      <c r="J42" s="359">
        <f>SUM(J38:J41)</f>
        <v>179</v>
      </c>
      <c r="K42" s="303"/>
      <c r="L42" s="359">
        <f>SUM(L38:L41)</f>
        <v>292</v>
      </c>
      <c r="M42" s="303"/>
      <c r="N42" s="406">
        <v>262</v>
      </c>
      <c r="O42" s="359"/>
      <c r="P42" s="406">
        <f>SUM(P38:P41)</f>
        <v>261</v>
      </c>
      <c r="Q42" s="359"/>
      <c r="R42" s="400">
        <f>SUM(R38:R41)</f>
        <v>514</v>
      </c>
      <c r="S42" s="399"/>
      <c r="T42" s="400">
        <f>SUM(T38:T41)</f>
        <v>2738</v>
      </c>
      <c r="U42" s="399"/>
      <c r="V42" s="400">
        <f>SUM(V38:V41)</f>
        <v>3564</v>
      </c>
      <c r="W42" s="399"/>
      <c r="X42" s="400">
        <f>SUM(X38:X41)</f>
        <v>2789</v>
      </c>
      <c r="Y42" s="359"/>
      <c r="Z42" s="1096">
        <f>SUM(Z38:Z41)</f>
        <v>0</v>
      </c>
      <c r="AA42" s="927"/>
      <c r="AB42" s="604"/>
      <c r="AC42" s="809">
        <f t="shared" si="8"/>
        <v>1921</v>
      </c>
      <c r="AE42" s="1" t="s">
        <v>26</v>
      </c>
    </row>
    <row r="43" spans="1:32" ht="13.5" customHeight="1" thickTop="1" thickBot="1" x14ac:dyDescent="0.25">
      <c r="A43" s="583"/>
      <c r="B43" s="1119" t="s">
        <v>136</v>
      </c>
      <c r="C43" s="1159" t="s">
        <v>41</v>
      </c>
      <c r="D43" s="1160"/>
      <c r="E43" s="1141" t="s">
        <v>42</v>
      </c>
      <c r="F43" s="1160"/>
      <c r="G43" s="1145" t="s">
        <v>132</v>
      </c>
      <c r="H43" s="1163"/>
      <c r="I43" s="1145" t="s">
        <v>133</v>
      </c>
      <c r="J43" s="1166"/>
      <c r="K43" s="1145" t="s">
        <v>134</v>
      </c>
      <c r="L43" s="1166"/>
      <c r="M43" s="1149" t="s">
        <v>135</v>
      </c>
      <c r="N43" s="1163"/>
      <c r="O43" s="1135" t="s">
        <v>166</v>
      </c>
      <c r="P43" s="1163"/>
      <c r="Q43" s="1135" t="s">
        <v>170</v>
      </c>
      <c r="R43" s="1163"/>
      <c r="S43" s="1135" t="s">
        <v>177</v>
      </c>
      <c r="T43" s="1163"/>
      <c r="U43" s="1135" t="s">
        <v>180</v>
      </c>
      <c r="V43" s="1163"/>
      <c r="W43" s="1135" t="s">
        <v>184</v>
      </c>
      <c r="X43" s="1163"/>
      <c r="Y43" s="1135" t="s">
        <v>188</v>
      </c>
      <c r="Z43" s="1163"/>
      <c r="AA43" s="672"/>
      <c r="AB43" s="1175"/>
      <c r="AC43" s="1176"/>
      <c r="AD43" s="438"/>
      <c r="AE43" s="438"/>
    </row>
    <row r="44" spans="1:32" ht="13.5" customHeight="1" x14ac:dyDescent="0.2">
      <c r="A44" s="583"/>
      <c r="B44" s="888" t="s">
        <v>119</v>
      </c>
      <c r="C44" s="1177">
        <v>0.17499999999999999</v>
      </c>
      <c r="D44" s="1178"/>
      <c r="E44" s="1158">
        <v>0.19097091046467699</v>
      </c>
      <c r="F44" s="1155"/>
      <c r="G44" s="1161">
        <v>1.7999999999999999E-2</v>
      </c>
      <c r="H44" s="1162"/>
      <c r="I44" s="1161">
        <v>1.4E-2</v>
      </c>
      <c r="J44" s="1162"/>
      <c r="K44" s="643"/>
      <c r="L44" s="640">
        <v>0</v>
      </c>
      <c r="M44" s="646"/>
      <c r="N44" s="833">
        <v>0.17699999999999999</v>
      </c>
      <c r="O44" s="830"/>
      <c r="P44" s="833">
        <v>0.13300000000000001</v>
      </c>
      <c r="Q44" s="648"/>
      <c r="R44" s="833">
        <v>0.22</v>
      </c>
      <c r="S44" s="648"/>
      <c r="T44" s="833">
        <v>0.60399999999999998</v>
      </c>
      <c r="U44" s="648"/>
      <c r="V44" s="833">
        <v>0.622</v>
      </c>
      <c r="W44" s="648"/>
      <c r="X44" s="833">
        <v>0.71499999999999997</v>
      </c>
      <c r="Y44" s="648"/>
      <c r="Z44" s="833">
        <v>0.73299999999999998</v>
      </c>
      <c r="AA44" s="916"/>
      <c r="AB44" s="648"/>
      <c r="AC44" s="670">
        <f>AVERAGE(X44,V44,T44,R44,Z44)</f>
        <v>0.57879999999999998</v>
      </c>
      <c r="AD44" s="438"/>
      <c r="AE44" s="438"/>
    </row>
    <row r="45" spans="1:32" ht="13.5" customHeight="1" x14ac:dyDescent="0.2">
      <c r="A45" s="583"/>
      <c r="B45" s="890" t="s">
        <v>120</v>
      </c>
      <c r="C45" s="1154">
        <v>6.8000000000000005E-2</v>
      </c>
      <c r="D45" s="1155"/>
      <c r="E45" s="1156">
        <v>7.9523989421987157E-2</v>
      </c>
      <c r="F45" s="1157"/>
      <c r="G45" s="1172">
        <v>0.86799999999999999</v>
      </c>
      <c r="H45" s="1173"/>
      <c r="I45" s="1172">
        <v>0.89200000000000002</v>
      </c>
      <c r="J45" s="1173"/>
      <c r="K45" s="644"/>
      <c r="L45" s="641">
        <v>0.78200000000000003</v>
      </c>
      <c r="M45" s="644"/>
      <c r="N45" s="834">
        <v>0.75</v>
      </c>
      <c r="O45" s="831"/>
      <c r="P45" s="834">
        <v>0.8</v>
      </c>
      <c r="Q45" s="649"/>
      <c r="R45" s="834">
        <v>0.20300000000000001</v>
      </c>
      <c r="S45" s="649"/>
      <c r="T45" s="834">
        <v>0.06</v>
      </c>
      <c r="U45" s="649"/>
      <c r="V45" s="834">
        <v>4.7E-2</v>
      </c>
      <c r="W45" s="649"/>
      <c r="X45" s="834">
        <v>7.6999999999999999E-2</v>
      </c>
      <c r="Y45" s="649"/>
      <c r="Z45" s="834">
        <v>6.4000000000000001E-2</v>
      </c>
      <c r="AA45" s="916"/>
      <c r="AB45" s="649"/>
      <c r="AC45" s="670">
        <f t="shared" ref="AC45:AC46" si="9">AVERAGE(X45,V45,T45,R45,Z45)</f>
        <v>9.0200000000000002E-2</v>
      </c>
      <c r="AD45" s="438"/>
      <c r="AE45" s="438"/>
    </row>
    <row r="46" spans="1:32" ht="13.5" customHeight="1" thickBot="1" x14ac:dyDescent="0.25">
      <c r="B46" s="647" t="s">
        <v>121</v>
      </c>
      <c r="C46" s="1167">
        <v>0.75800000000000001</v>
      </c>
      <c r="D46" s="1165"/>
      <c r="E46" s="1164">
        <v>0.7295051001133358</v>
      </c>
      <c r="F46" s="1165"/>
      <c r="G46" s="1164">
        <f>1-G44-G45</f>
        <v>0.11399999999999999</v>
      </c>
      <c r="H46" s="1174"/>
      <c r="I46" s="1164">
        <f>1-I44-I45</f>
        <v>9.3999999999999972E-2</v>
      </c>
      <c r="J46" s="1174"/>
      <c r="K46" s="645"/>
      <c r="L46" s="967">
        <f>1-L44-L45</f>
        <v>0.21799999999999997</v>
      </c>
      <c r="M46" s="645"/>
      <c r="N46" s="968">
        <f>1-N44-N45</f>
        <v>7.2999999999999954E-2</v>
      </c>
      <c r="O46" s="832"/>
      <c r="P46" s="968">
        <f>1-P44-P45</f>
        <v>6.6999999999999948E-2</v>
      </c>
      <c r="Q46" s="966"/>
      <c r="R46" s="968">
        <f>1-R44-R45</f>
        <v>0.57699999999999996</v>
      </c>
      <c r="S46" s="966"/>
      <c r="T46" s="968">
        <f>1-T44-T45</f>
        <v>0.33600000000000002</v>
      </c>
      <c r="U46" s="966"/>
      <c r="V46" s="968">
        <f>1-V44-V45</f>
        <v>0.33100000000000002</v>
      </c>
      <c r="W46" s="966"/>
      <c r="X46" s="968">
        <f>1-X44-X45</f>
        <v>0.20800000000000002</v>
      </c>
      <c r="Y46" s="966"/>
      <c r="Z46" s="968">
        <f>1-Z44-Z45</f>
        <v>0.20300000000000001</v>
      </c>
      <c r="AA46" s="916"/>
      <c r="AB46" s="669"/>
      <c r="AC46" s="671">
        <f t="shared" si="9"/>
        <v>0.33100000000000002</v>
      </c>
      <c r="AD46" s="438"/>
      <c r="AE46" s="438"/>
    </row>
    <row r="47" spans="1:32" thickTop="1" x14ac:dyDescent="0.2">
      <c r="B47" s="102"/>
      <c r="C47" s="103"/>
      <c r="D47" s="104"/>
      <c r="E47" s="103"/>
      <c r="F47" s="104"/>
      <c r="G47" s="251"/>
      <c r="H47" s="252"/>
      <c r="I47" s="251"/>
      <c r="J47" s="252"/>
      <c r="K47" s="437"/>
      <c r="L47" s="438"/>
      <c r="M47" s="437"/>
      <c r="N47" s="438"/>
      <c r="O47" s="437"/>
      <c r="P47" s="438"/>
      <c r="Q47" s="437"/>
      <c r="R47" s="438"/>
      <c r="S47" s="437"/>
      <c r="T47" s="438"/>
      <c r="U47" s="437"/>
      <c r="V47" s="438"/>
      <c r="W47" s="437"/>
      <c r="X47" s="438"/>
      <c r="Y47" s="437"/>
      <c r="Z47" s="438"/>
      <c r="AA47" s="438"/>
      <c r="AC47" s="605"/>
      <c r="AD47" s="59"/>
      <c r="AF47" s="1" t="s">
        <v>26</v>
      </c>
    </row>
    <row r="48" spans="1:32" x14ac:dyDescent="0.2">
      <c r="A48" s="105" t="s">
        <v>51</v>
      </c>
      <c r="B48" s="92"/>
      <c r="C48" s="59"/>
      <c r="D48" s="59"/>
      <c r="E48" s="59"/>
      <c r="F48" s="59"/>
      <c r="G48" s="253"/>
      <c r="H48" s="253"/>
      <c r="I48" s="253"/>
      <c r="J48" s="253"/>
      <c r="K48" s="253"/>
      <c r="L48" s="253"/>
      <c r="M48" s="253"/>
      <c r="N48" s="253"/>
      <c r="O48" s="253"/>
      <c r="P48" s="253"/>
      <c r="Q48" s="253"/>
      <c r="R48" s="253"/>
      <c r="S48" s="253"/>
      <c r="T48" s="253"/>
      <c r="U48" s="253"/>
      <c r="V48" s="253"/>
      <c r="W48" s="253"/>
      <c r="X48" s="253"/>
      <c r="Y48" s="253"/>
      <c r="Z48" s="253"/>
      <c r="AA48" s="253"/>
      <c r="AC48" s="59"/>
      <c r="AD48" s="59"/>
      <c r="AE48" s="1" t="s">
        <v>26</v>
      </c>
    </row>
    <row r="49" spans="1:29" ht="13.5" thickBot="1" x14ac:dyDescent="0.25">
      <c r="A49" s="105"/>
      <c r="B49" s="92"/>
      <c r="C49" s="59"/>
      <c r="D49" s="59"/>
      <c r="E49" s="59"/>
      <c r="F49" s="59"/>
      <c r="G49" s="253"/>
      <c r="H49" s="253"/>
      <c r="I49" s="253"/>
      <c r="J49" s="253"/>
      <c r="K49" s="253"/>
      <c r="L49" s="253"/>
      <c r="M49" s="253"/>
      <c r="N49" s="253"/>
      <c r="O49" s="253"/>
      <c r="P49" s="253"/>
      <c r="Q49" s="253"/>
      <c r="R49" s="253"/>
      <c r="S49" s="253"/>
      <c r="T49" s="253"/>
      <c r="U49" s="253"/>
      <c r="V49" s="253"/>
      <c r="W49" s="253"/>
      <c r="X49" s="253"/>
      <c r="Y49" s="253"/>
      <c r="Z49" s="253"/>
      <c r="AA49" s="253"/>
      <c r="AB49" s="12"/>
      <c r="AC49" s="12"/>
    </row>
    <row r="50" spans="1:29" ht="14.25" thickTop="1" thickBot="1" x14ac:dyDescent="0.25">
      <c r="A50" s="3"/>
      <c r="B50" s="867" t="s">
        <v>52</v>
      </c>
      <c r="C50" s="1151" t="s">
        <v>39</v>
      </c>
      <c r="D50" s="1152"/>
      <c r="E50" s="1153" t="s">
        <v>40</v>
      </c>
      <c r="F50" s="1153"/>
      <c r="G50" s="1150" t="s">
        <v>97</v>
      </c>
      <c r="H50" s="1134"/>
      <c r="I50" s="1133" t="s">
        <v>108</v>
      </c>
      <c r="J50" s="1133"/>
      <c r="K50" s="1150" t="s">
        <v>109</v>
      </c>
      <c r="L50" s="1133"/>
      <c r="M50" s="1150" t="s">
        <v>111</v>
      </c>
      <c r="N50" s="1134"/>
      <c r="O50" s="1133" t="s">
        <v>164</v>
      </c>
      <c r="P50" s="1134"/>
      <c r="Q50" s="1133" t="s">
        <v>169</v>
      </c>
      <c r="R50" s="1134"/>
      <c r="S50" s="1133" t="s">
        <v>176</v>
      </c>
      <c r="T50" s="1134"/>
      <c r="U50" s="1133" t="s">
        <v>179</v>
      </c>
      <c r="V50" s="1134"/>
      <c r="W50" s="1133" t="s">
        <v>183</v>
      </c>
      <c r="X50" s="1134"/>
      <c r="Y50" s="1133" t="s">
        <v>187</v>
      </c>
      <c r="Z50" s="1134"/>
      <c r="AA50" s="606"/>
      <c r="AB50" s="1168" t="s">
        <v>118</v>
      </c>
      <c r="AC50" s="1169"/>
    </row>
    <row r="51" spans="1:29" x14ac:dyDescent="0.2">
      <c r="A51" s="3"/>
      <c r="B51" s="893" t="s">
        <v>53</v>
      </c>
      <c r="C51" s="159"/>
      <c r="D51" s="153"/>
      <c r="E51" s="53"/>
      <c r="F51" s="53"/>
      <c r="G51" s="312"/>
      <c r="H51" s="363"/>
      <c r="I51" s="121"/>
      <c r="J51" s="121"/>
      <c r="K51" s="312"/>
      <c r="L51" s="121"/>
      <c r="M51" s="312"/>
      <c r="N51" s="363"/>
      <c r="O51" s="121"/>
      <c r="P51" s="363"/>
      <c r="Q51" s="121"/>
      <c r="R51" s="363"/>
      <c r="S51" s="121"/>
      <c r="T51" s="363"/>
      <c r="U51" s="121"/>
      <c r="V51" s="363"/>
      <c r="W51" s="121"/>
      <c r="X51" s="363"/>
      <c r="Y51" s="121"/>
      <c r="Z51" s="363"/>
      <c r="AA51" s="915"/>
      <c r="AC51" s="583"/>
    </row>
    <row r="52" spans="1:29" x14ac:dyDescent="0.2">
      <c r="A52" s="3"/>
      <c r="B52" s="869" t="s">
        <v>54</v>
      </c>
      <c r="C52" s="158"/>
      <c r="D52" s="184">
        <f>420055+468990+774793</f>
        <v>1663838</v>
      </c>
      <c r="E52" s="156"/>
      <c r="F52" s="181">
        <f>550990+455464+842330</f>
        <v>1848784</v>
      </c>
      <c r="G52" s="313"/>
      <c r="H52" s="490">
        <f>560552+411793+852981</f>
        <v>1825326</v>
      </c>
      <c r="I52" s="491"/>
      <c r="J52" s="492">
        <f>382439+632008+895797</f>
        <v>1910244</v>
      </c>
      <c r="K52" s="493"/>
      <c r="L52" s="492">
        <f>613918+900736+213855</f>
        <v>1728509</v>
      </c>
      <c r="M52" s="493"/>
      <c r="N52" s="490">
        <f>607769+852715+303921</f>
        <v>1764405</v>
      </c>
      <c r="O52" s="491"/>
      <c r="P52" s="490">
        <f>510936+861430+264125</f>
        <v>1636491</v>
      </c>
      <c r="Q52" s="491"/>
      <c r="R52" s="490">
        <v>2043788</v>
      </c>
      <c r="S52" s="491"/>
      <c r="T52" s="490">
        <f>1028497+898551+206393</f>
        <v>2133441</v>
      </c>
      <c r="U52" s="491"/>
      <c r="V52" s="490">
        <v>2138660</v>
      </c>
      <c r="W52" s="491"/>
      <c r="X52" s="490">
        <v>2420734</v>
      </c>
      <c r="Y52" s="491"/>
      <c r="Z52" s="490">
        <v>2860659</v>
      </c>
      <c r="AA52" s="928"/>
      <c r="AC52" s="773">
        <f>AVERAGE(X52,V52,T52,R52,Z52)</f>
        <v>2319456.4</v>
      </c>
    </row>
    <row r="53" spans="1:29" hidden="1" x14ac:dyDescent="0.2">
      <c r="A53" s="3"/>
      <c r="B53" s="869" t="s">
        <v>55</v>
      </c>
      <c r="C53" s="159"/>
      <c r="D53" s="162"/>
      <c r="E53" s="53"/>
      <c r="F53" s="182"/>
      <c r="G53" s="312"/>
      <c r="H53" s="494"/>
      <c r="I53" s="411"/>
      <c r="J53" s="495"/>
      <c r="K53" s="286"/>
      <c r="L53" s="495"/>
      <c r="M53" s="286"/>
      <c r="N53" s="494"/>
      <c r="O53" s="411"/>
      <c r="P53" s="494"/>
      <c r="Q53" s="411"/>
      <c r="R53" s="494"/>
      <c r="S53" s="411"/>
      <c r="T53" s="494"/>
      <c r="U53" s="411"/>
      <c r="V53" s="494"/>
      <c r="W53" s="411"/>
      <c r="X53" s="494"/>
      <c r="Y53" s="411"/>
      <c r="Z53" s="494"/>
      <c r="AA53" s="928"/>
      <c r="AC53" s="773"/>
    </row>
    <row r="54" spans="1:29" ht="26.25" customHeight="1" x14ac:dyDescent="0.2">
      <c r="A54" s="3"/>
      <c r="B54" s="870" t="s">
        <v>65</v>
      </c>
      <c r="C54" s="159"/>
      <c r="D54" s="162">
        <v>40000</v>
      </c>
      <c r="E54" s="53"/>
      <c r="F54" s="182">
        <f>40000+7740</f>
        <v>47740</v>
      </c>
      <c r="G54" s="312"/>
      <c r="H54" s="494">
        <f>344469+40000</f>
        <v>384469</v>
      </c>
      <c r="I54" s="411"/>
      <c r="J54" s="495">
        <f>24802+343306</f>
        <v>368108</v>
      </c>
      <c r="K54" s="286"/>
      <c r="L54" s="495">
        <f>15000+0+683034</f>
        <v>698034</v>
      </c>
      <c r="M54" s="286"/>
      <c r="N54" s="494">
        <f>62189+378894</f>
        <v>441083</v>
      </c>
      <c r="O54" s="411"/>
      <c r="P54" s="494">
        <f>154899+65111+268356</f>
        <v>488366</v>
      </c>
      <c r="Q54" s="411"/>
      <c r="R54" s="494">
        <v>576417</v>
      </c>
      <c r="S54" s="411"/>
      <c r="T54" s="494">
        <f>119116+241669+278757</f>
        <v>639542</v>
      </c>
      <c r="U54" s="411"/>
      <c r="V54" s="494">
        <v>672057</v>
      </c>
      <c r="W54" s="411"/>
      <c r="X54" s="494">
        <v>895671</v>
      </c>
      <c r="Y54" s="411"/>
      <c r="Z54" s="494">
        <v>1495742</v>
      </c>
      <c r="AA54" s="928"/>
      <c r="AC54" s="773">
        <f t="shared" ref="AC54:AC55" si="10">AVERAGE(X54,V54,T54,R54,Z54)</f>
        <v>855885.8</v>
      </c>
    </row>
    <row r="55" spans="1:29" x14ac:dyDescent="0.2">
      <c r="A55" s="3"/>
      <c r="B55" s="871" t="s">
        <v>56</v>
      </c>
      <c r="C55" s="160"/>
      <c r="D55" s="161">
        <f>SUM(D52:D54)</f>
        <v>1703838</v>
      </c>
      <c r="E55" s="96"/>
      <c r="F55" s="157">
        <f>SUM(F52:F54)</f>
        <v>1896524</v>
      </c>
      <c r="G55" s="314"/>
      <c r="H55" s="496">
        <f>SUM(H52:H54)</f>
        <v>2209795</v>
      </c>
      <c r="I55" s="497"/>
      <c r="J55" s="498">
        <f>SUM(J52:J54)</f>
        <v>2278352</v>
      </c>
      <c r="K55" s="499"/>
      <c r="L55" s="498">
        <f>SUM(L52:L54)</f>
        <v>2426543</v>
      </c>
      <c r="M55" s="499"/>
      <c r="N55" s="496">
        <f>SUM(N52:N54)</f>
        <v>2205488</v>
      </c>
      <c r="O55" s="497"/>
      <c r="P55" s="496">
        <f>SUM(P52:P54)</f>
        <v>2124857</v>
      </c>
      <c r="Q55" s="497"/>
      <c r="R55" s="496">
        <f>SUM(R52:R54)</f>
        <v>2620205</v>
      </c>
      <c r="S55" s="497"/>
      <c r="T55" s="496">
        <f>SUM(T52:T54)</f>
        <v>2772983</v>
      </c>
      <c r="U55" s="497"/>
      <c r="V55" s="496">
        <f>SUM(V52:V54)</f>
        <v>2810717</v>
      </c>
      <c r="W55" s="497"/>
      <c r="X55" s="496">
        <f>SUM(X52:X54)</f>
        <v>3316405</v>
      </c>
      <c r="Y55" s="497"/>
      <c r="Z55" s="496">
        <f>SUM(Z52:Z54)</f>
        <v>4356401</v>
      </c>
      <c r="AA55" s="929"/>
      <c r="AC55" s="779">
        <f t="shared" si="10"/>
        <v>3175342.2</v>
      </c>
    </row>
    <row r="56" spans="1:29" x14ac:dyDescent="0.2">
      <c r="A56" s="3"/>
      <c r="B56" s="868" t="s">
        <v>57</v>
      </c>
      <c r="C56" s="159"/>
      <c r="D56" s="162"/>
      <c r="E56" s="53"/>
      <c r="F56" s="182"/>
      <c r="G56" s="312"/>
      <c r="H56" s="494"/>
      <c r="I56" s="411"/>
      <c r="J56" s="495"/>
      <c r="K56" s="286"/>
      <c r="L56" s="495"/>
      <c r="M56" s="286"/>
      <c r="N56" s="494"/>
      <c r="O56" s="411"/>
      <c r="P56" s="494"/>
      <c r="Q56" s="411"/>
      <c r="R56" s="494"/>
      <c r="S56" s="411"/>
      <c r="T56" s="494"/>
      <c r="U56" s="411"/>
      <c r="V56" s="494"/>
      <c r="W56" s="411"/>
      <c r="X56" s="494"/>
      <c r="Y56" s="411"/>
      <c r="Z56" s="494"/>
      <c r="AA56" s="928"/>
      <c r="AC56" s="773"/>
    </row>
    <row r="57" spans="1:29" x14ac:dyDescent="0.2">
      <c r="A57" s="3"/>
      <c r="B57" s="869" t="s">
        <v>54</v>
      </c>
      <c r="C57" s="159"/>
      <c r="D57" s="162"/>
      <c r="E57" s="53"/>
      <c r="F57" s="182"/>
      <c r="G57" s="312"/>
      <c r="H57" s="494"/>
      <c r="I57" s="411"/>
      <c r="J57" s="495"/>
      <c r="K57" s="286"/>
      <c r="L57" s="495"/>
      <c r="M57" s="286"/>
      <c r="N57" s="494"/>
      <c r="O57" s="411"/>
      <c r="P57" s="494"/>
      <c r="Q57" s="411"/>
      <c r="R57" s="494"/>
      <c r="S57" s="411"/>
      <c r="T57" s="494"/>
      <c r="U57" s="411"/>
      <c r="V57" s="494"/>
      <c r="W57" s="411"/>
      <c r="X57" s="494"/>
      <c r="Y57" s="411"/>
      <c r="Z57" s="494"/>
      <c r="AA57" s="928"/>
      <c r="AC57" s="773"/>
    </row>
    <row r="58" spans="1:29" ht="26.25" customHeight="1" x14ac:dyDescent="0.2">
      <c r="A58" s="3"/>
      <c r="B58" s="870" t="s">
        <v>65</v>
      </c>
      <c r="C58" s="159"/>
      <c r="D58" s="162"/>
      <c r="E58" s="53"/>
      <c r="F58" s="182"/>
      <c r="G58" s="312"/>
      <c r="H58" s="494"/>
      <c r="I58" s="411"/>
      <c r="J58" s="495"/>
      <c r="K58" s="286"/>
      <c r="L58" s="495"/>
      <c r="M58" s="286"/>
      <c r="N58" s="494"/>
      <c r="O58" s="411"/>
      <c r="P58" s="494"/>
      <c r="Q58" s="411"/>
      <c r="R58" s="494"/>
      <c r="S58" s="411"/>
      <c r="T58" s="494"/>
      <c r="U58" s="411"/>
      <c r="V58" s="494"/>
      <c r="W58" s="411"/>
      <c r="X58" s="494"/>
      <c r="Y58" s="411"/>
      <c r="Z58" s="494"/>
      <c r="AA58" s="928"/>
      <c r="AC58" s="773"/>
    </row>
    <row r="59" spans="1:29" x14ac:dyDescent="0.2">
      <c r="A59" s="3"/>
      <c r="B59" s="871" t="s">
        <v>59</v>
      </c>
      <c r="C59" s="160"/>
      <c r="D59" s="161">
        <f>SUM(D57:D58)</f>
        <v>0</v>
      </c>
      <c r="E59" s="96"/>
      <c r="F59" s="157">
        <f>SUM(F57:F58)</f>
        <v>0</v>
      </c>
      <c r="G59" s="314"/>
      <c r="H59" s="496">
        <f>SUM(H57:H58)</f>
        <v>0</v>
      </c>
      <c r="I59" s="497"/>
      <c r="J59" s="498">
        <f>SUM(J57:J58)</f>
        <v>0</v>
      </c>
      <c r="K59" s="499"/>
      <c r="L59" s="498">
        <f>SUM(L57:L58)</f>
        <v>0</v>
      </c>
      <c r="M59" s="499"/>
      <c r="N59" s="496">
        <f>SUM(N57:N58)</f>
        <v>0</v>
      </c>
      <c r="O59" s="497"/>
      <c r="P59" s="496">
        <f>SUM(P57:P58)</f>
        <v>0</v>
      </c>
      <c r="Q59" s="497"/>
      <c r="R59" s="496">
        <f>SUM(R57:R58)</f>
        <v>0</v>
      </c>
      <c r="S59" s="497"/>
      <c r="T59" s="496">
        <f>SUM(T57:T58)</f>
        <v>0</v>
      </c>
      <c r="U59" s="497"/>
      <c r="V59" s="496">
        <f>SUM(V57:V58)</f>
        <v>0</v>
      </c>
      <c r="W59" s="497"/>
      <c r="X59" s="496">
        <f>SUM(X57:X58)</f>
        <v>0</v>
      </c>
      <c r="Y59" s="497"/>
      <c r="Z59" s="496">
        <f>SUM(Z57:Z58)</f>
        <v>0</v>
      </c>
      <c r="AA59" s="929"/>
      <c r="AC59" s="773">
        <f t="shared" ref="AC59:AC60" si="11">AVERAGE(X59,V59,T59,R59,Z59)</f>
        <v>0</v>
      </c>
    </row>
    <row r="60" spans="1:29" ht="13.5" thickBot="1" x14ac:dyDescent="0.25">
      <c r="A60" s="3"/>
      <c r="B60" s="872" t="s">
        <v>60</v>
      </c>
      <c r="C60" s="159"/>
      <c r="D60" s="161">
        <f>SUM(D55,D59)</f>
        <v>1703838</v>
      </c>
      <c r="E60" s="53"/>
      <c r="F60" s="157">
        <f>SUM(F55,F59)</f>
        <v>1896524</v>
      </c>
      <c r="G60" s="312"/>
      <c r="H60" s="496">
        <f>SUM(H55,H59)</f>
        <v>2209795</v>
      </c>
      <c r="I60" s="411"/>
      <c r="J60" s="498">
        <f>SUM(J55,J59)</f>
        <v>2278352</v>
      </c>
      <c r="K60" s="286"/>
      <c r="L60" s="498">
        <f>SUM(L55,L59)</f>
        <v>2426543</v>
      </c>
      <c r="M60" s="286"/>
      <c r="N60" s="496">
        <f>SUM(N55,N59)</f>
        <v>2205488</v>
      </c>
      <c r="O60" s="411"/>
      <c r="P60" s="496">
        <f>SUM(P55,P59)</f>
        <v>2124857</v>
      </c>
      <c r="Q60" s="411"/>
      <c r="R60" s="496">
        <f>SUM(R55,R59)</f>
        <v>2620205</v>
      </c>
      <c r="S60" s="411"/>
      <c r="T60" s="496">
        <f>SUM(T55,T59)</f>
        <v>2772983</v>
      </c>
      <c r="U60" s="411"/>
      <c r="V60" s="496">
        <f>SUM(V55,V59)</f>
        <v>2810717</v>
      </c>
      <c r="W60" s="411"/>
      <c r="X60" s="496">
        <f>SUM(X55,X59)</f>
        <v>3316405</v>
      </c>
      <c r="Y60" s="411"/>
      <c r="Z60" s="496">
        <f>SUM(Z55,Z59)</f>
        <v>4356401</v>
      </c>
      <c r="AA60" s="929"/>
      <c r="AB60" s="679"/>
      <c r="AC60" s="778">
        <f t="shared" si="11"/>
        <v>3175342.2</v>
      </c>
    </row>
    <row r="61" spans="1:29" ht="12" x14ac:dyDescent="0.2">
      <c r="B61" s="873" t="s">
        <v>173</v>
      </c>
      <c r="C61" s="163"/>
      <c r="D61" s="164"/>
      <c r="E61" s="113"/>
      <c r="F61" s="113"/>
      <c r="G61" s="315"/>
      <c r="H61" s="408"/>
      <c r="I61" s="407"/>
      <c r="J61" s="407"/>
      <c r="K61" s="315"/>
      <c r="L61" s="407"/>
      <c r="M61" s="315"/>
      <c r="N61" s="408"/>
      <c r="O61" s="407"/>
      <c r="P61" s="408"/>
      <c r="Q61" s="407"/>
      <c r="R61" s="408"/>
      <c r="S61" s="407"/>
      <c r="T61" s="408"/>
      <c r="U61" s="407"/>
      <c r="V61" s="408"/>
      <c r="W61" s="407"/>
      <c r="X61" s="408"/>
      <c r="Y61" s="407"/>
      <c r="Z61" s="408"/>
      <c r="AA61" s="915"/>
      <c r="AC61" s="773"/>
    </row>
    <row r="62" spans="1:29" ht="12" x14ac:dyDescent="0.2">
      <c r="B62" s="49" t="s">
        <v>13</v>
      </c>
      <c r="C62" s="165"/>
      <c r="D62" s="166">
        <f>8190+612990+189069</f>
        <v>810249</v>
      </c>
      <c r="E62" s="34"/>
      <c r="F62" s="259">
        <v>823420</v>
      </c>
      <c r="G62" s="281"/>
      <c r="H62" s="423">
        <v>430784</v>
      </c>
      <c r="I62" s="254"/>
      <c r="J62" s="343">
        <v>471752.77</v>
      </c>
      <c r="K62" s="281"/>
      <c r="L62" s="343">
        <f>79+673675+116192</f>
        <v>789946</v>
      </c>
      <c r="M62" s="281"/>
      <c r="N62" s="423">
        <v>248162</v>
      </c>
      <c r="O62" s="254"/>
      <c r="P62" s="423">
        <v>292891</v>
      </c>
      <c r="Q62" s="411"/>
      <c r="R62" s="423">
        <v>72611</v>
      </c>
      <c r="S62" s="411"/>
      <c r="T62" s="423">
        <v>149800</v>
      </c>
      <c r="U62" s="411"/>
      <c r="V62" s="423">
        <v>707119</v>
      </c>
      <c r="W62" s="411"/>
      <c r="X62" s="423">
        <v>156499.47</v>
      </c>
      <c r="Y62" s="411"/>
      <c r="Z62" s="1024"/>
      <c r="AA62" s="914"/>
      <c r="AC62" s="773">
        <f>AVERAGE(X62,V62,T62,R62,P62)</f>
        <v>275784.09399999998</v>
      </c>
    </row>
    <row r="63" spans="1:29" thickBot="1" x14ac:dyDescent="0.25">
      <c r="B63" s="877" t="s">
        <v>14</v>
      </c>
      <c r="C63" s="167"/>
      <c r="D63" s="168">
        <v>0</v>
      </c>
      <c r="E63" s="90"/>
      <c r="F63" s="168">
        <v>0</v>
      </c>
      <c r="G63" s="316"/>
      <c r="H63" s="168">
        <v>0</v>
      </c>
      <c r="I63" s="395"/>
      <c r="J63" s="168">
        <v>0</v>
      </c>
      <c r="K63" s="316"/>
      <c r="L63" s="344">
        <v>0</v>
      </c>
      <c r="M63" s="316"/>
      <c r="N63" s="781">
        <v>0</v>
      </c>
      <c r="O63" s="395"/>
      <c r="P63" s="781">
        <v>0</v>
      </c>
      <c r="Q63" s="969"/>
      <c r="R63" s="781">
        <v>0</v>
      </c>
      <c r="S63" s="969"/>
      <c r="T63" s="781">
        <v>0</v>
      </c>
      <c r="U63" s="969"/>
      <c r="V63" s="781">
        <v>0</v>
      </c>
      <c r="W63" s="969"/>
      <c r="X63" s="781">
        <v>0</v>
      </c>
      <c r="Y63" s="969"/>
      <c r="Z63" s="1025"/>
      <c r="AA63" s="914"/>
      <c r="AB63" s="679"/>
      <c r="AC63" s="777">
        <f>AVERAGE(X63,V63,T63,R63,P63)</f>
        <v>0</v>
      </c>
    </row>
    <row r="64" spans="1:29" ht="12" x14ac:dyDescent="0.2">
      <c r="B64" s="879"/>
      <c r="C64" s="169" t="s">
        <v>89</v>
      </c>
      <c r="D64" s="170" t="s">
        <v>96</v>
      </c>
      <c r="E64" s="95" t="s">
        <v>89</v>
      </c>
      <c r="F64" s="183" t="s">
        <v>96</v>
      </c>
      <c r="G64" s="288" t="s">
        <v>89</v>
      </c>
      <c r="H64" s="375" t="s">
        <v>96</v>
      </c>
      <c r="I64" s="255" t="s">
        <v>89</v>
      </c>
      <c r="J64" s="412" t="s">
        <v>96</v>
      </c>
      <c r="K64" s="288" t="s">
        <v>89</v>
      </c>
      <c r="L64" s="412" t="s">
        <v>96</v>
      </c>
      <c r="M64" s="288" t="s">
        <v>89</v>
      </c>
      <c r="N64" s="375" t="s">
        <v>96</v>
      </c>
      <c r="O64" s="255" t="s">
        <v>89</v>
      </c>
      <c r="P64" s="375" t="s">
        <v>96</v>
      </c>
      <c r="Q64" s="255" t="s">
        <v>89</v>
      </c>
      <c r="R64" s="375" t="s">
        <v>96</v>
      </c>
      <c r="S64" s="255" t="s">
        <v>89</v>
      </c>
      <c r="T64" s="375" t="s">
        <v>96</v>
      </c>
      <c r="U64" s="255" t="s">
        <v>89</v>
      </c>
      <c r="V64" s="375" t="s">
        <v>96</v>
      </c>
      <c r="W64" s="255" t="s">
        <v>89</v>
      </c>
      <c r="X64" s="375" t="s">
        <v>96</v>
      </c>
      <c r="Y64" s="255" t="s">
        <v>89</v>
      </c>
      <c r="Z64" s="375" t="s">
        <v>96</v>
      </c>
      <c r="AA64" s="913"/>
      <c r="AB64" s="998" t="s">
        <v>89</v>
      </c>
      <c r="AC64" s="726" t="s">
        <v>96</v>
      </c>
    </row>
    <row r="65" spans="1:29" ht="11.45" customHeight="1" x14ac:dyDescent="0.2">
      <c r="B65" s="52" t="s">
        <v>47</v>
      </c>
      <c r="C65" s="698">
        <v>4</v>
      </c>
      <c r="D65" s="230">
        <v>199197</v>
      </c>
      <c r="E65" s="100">
        <v>0</v>
      </c>
      <c r="F65" s="134">
        <v>521691</v>
      </c>
      <c r="G65" s="701">
        <v>2</v>
      </c>
      <c r="H65" s="457">
        <v>208852</v>
      </c>
      <c r="I65" s="703">
        <v>0</v>
      </c>
      <c r="J65" s="457">
        <v>0</v>
      </c>
      <c r="K65" s="703">
        <v>0</v>
      </c>
      <c r="L65" s="411">
        <v>0</v>
      </c>
      <c r="M65" s="576">
        <v>0</v>
      </c>
      <c r="N65" s="464">
        <v>0</v>
      </c>
      <c r="O65" s="576">
        <v>0</v>
      </c>
      <c r="P65" s="464">
        <v>0</v>
      </c>
      <c r="Q65" s="576">
        <v>1</v>
      </c>
      <c r="R65" s="464">
        <v>82000</v>
      </c>
      <c r="S65" s="576">
        <v>0</v>
      </c>
      <c r="T65" s="464">
        <v>0</v>
      </c>
      <c r="U65" s="576">
        <v>0</v>
      </c>
      <c r="V65" s="464">
        <v>0</v>
      </c>
      <c r="W65" s="576">
        <v>0</v>
      </c>
      <c r="X65" s="464">
        <v>0</v>
      </c>
      <c r="Y65" s="1026"/>
      <c r="Z65" s="1027"/>
      <c r="AA65" s="931"/>
      <c r="AB65" s="999">
        <f t="shared" ref="AB65:AC65" si="12">AVERAGE(W65,U65,S65,Q65,Y65)</f>
        <v>0.25</v>
      </c>
      <c r="AC65" s="773">
        <f t="shared" si="12"/>
        <v>20500</v>
      </c>
    </row>
    <row r="66" spans="1:29" ht="11.45" customHeight="1" x14ac:dyDescent="0.2">
      <c r="B66" s="52"/>
      <c r="C66" s="705"/>
      <c r="D66" s="173"/>
      <c r="E66" s="707"/>
      <c r="F66" s="282"/>
      <c r="G66" s="709"/>
      <c r="H66" s="458"/>
      <c r="I66" s="711"/>
      <c r="J66" s="577"/>
      <c r="K66" s="711"/>
      <c r="L66" s="432"/>
      <c r="M66" s="817"/>
      <c r="N66" s="465"/>
      <c r="O66" s="817"/>
      <c r="P66" s="465"/>
      <c r="Q66" s="817"/>
      <c r="R66" s="465"/>
      <c r="S66" s="817"/>
      <c r="T66" s="465"/>
      <c r="U66" s="817"/>
      <c r="V66" s="465"/>
      <c r="W66" s="817"/>
      <c r="X66" s="465"/>
      <c r="Y66" s="1028"/>
      <c r="Z66" s="1029"/>
      <c r="AA66" s="931"/>
      <c r="AB66" s="999"/>
      <c r="AC66" s="773"/>
    </row>
    <row r="67" spans="1:29" thickBot="1" x14ac:dyDescent="0.25">
      <c r="B67" s="880" t="s">
        <v>15</v>
      </c>
      <c r="C67" s="714">
        <v>4</v>
      </c>
      <c r="D67" s="185">
        <v>344881</v>
      </c>
      <c r="E67" s="716">
        <v>3</v>
      </c>
      <c r="F67" s="322">
        <v>355489</v>
      </c>
      <c r="G67" s="718">
        <v>3</v>
      </c>
      <c r="H67" s="459">
        <v>276400</v>
      </c>
      <c r="I67" s="720">
        <v>1</v>
      </c>
      <c r="J67" s="459">
        <v>114516</v>
      </c>
      <c r="K67" s="720">
        <v>1</v>
      </c>
      <c r="L67" s="461">
        <v>6750</v>
      </c>
      <c r="M67" s="718">
        <v>0</v>
      </c>
      <c r="N67" s="459">
        <v>0</v>
      </c>
      <c r="O67" s="718">
        <v>0</v>
      </c>
      <c r="P67" s="459">
        <v>0</v>
      </c>
      <c r="Q67" s="718">
        <v>0</v>
      </c>
      <c r="R67" s="459">
        <v>0</v>
      </c>
      <c r="S67" s="718">
        <v>0</v>
      </c>
      <c r="T67" s="459">
        <v>0</v>
      </c>
      <c r="U67" s="718">
        <v>0</v>
      </c>
      <c r="V67" s="459">
        <v>0</v>
      </c>
      <c r="W67" s="718">
        <v>0</v>
      </c>
      <c r="X67" s="459">
        <v>0</v>
      </c>
      <c r="Y67" s="1030"/>
      <c r="Z67" s="1031"/>
      <c r="AA67" s="258"/>
      <c r="AB67" s="1000">
        <f t="shared" ref="AB67:AC67" si="13">AVERAGE(W67,U67,S67,Q67,Y67)</f>
        <v>0</v>
      </c>
      <c r="AC67" s="777">
        <f t="shared" si="13"/>
        <v>0</v>
      </c>
    </row>
    <row r="68" spans="1:29" ht="12" x14ac:dyDescent="0.2">
      <c r="B68" s="873" t="s">
        <v>66</v>
      </c>
      <c r="C68" s="175"/>
      <c r="D68" s="186"/>
      <c r="E68" s="114"/>
      <c r="F68" s="283"/>
      <c r="G68" s="289"/>
      <c r="H68" s="376"/>
      <c r="I68" s="368"/>
      <c r="J68" s="433"/>
      <c r="K68" s="289"/>
      <c r="L68" s="433"/>
      <c r="M68" s="289"/>
      <c r="N68" s="376"/>
      <c r="O68" s="368"/>
      <c r="P68" s="376"/>
      <c r="Q68" s="368"/>
      <c r="R68" s="376"/>
      <c r="S68" s="368"/>
      <c r="T68" s="376"/>
      <c r="U68" s="368"/>
      <c r="V68" s="376"/>
      <c r="W68" s="368"/>
      <c r="X68" s="376"/>
      <c r="Y68" s="368"/>
      <c r="Z68" s="376"/>
      <c r="AA68" s="258"/>
      <c r="AC68" s="773"/>
    </row>
    <row r="69" spans="1:29" ht="12" x14ac:dyDescent="0.2">
      <c r="B69" s="881" t="s">
        <v>67</v>
      </c>
      <c r="C69" s="177"/>
      <c r="D69" s="187"/>
      <c r="E69" s="39"/>
      <c r="F69" s="61"/>
      <c r="G69" s="290"/>
      <c r="H69" s="377"/>
      <c r="I69" s="257"/>
      <c r="J69" s="250"/>
      <c r="K69" s="290"/>
      <c r="L69" s="250"/>
      <c r="M69" s="290"/>
      <c r="N69" s="377"/>
      <c r="O69" s="257"/>
      <c r="P69" s="377"/>
      <c r="Q69" s="257"/>
      <c r="R69" s="377"/>
      <c r="S69" s="257"/>
      <c r="T69" s="377"/>
      <c r="U69" s="257"/>
      <c r="V69" s="377"/>
      <c r="W69" s="257"/>
      <c r="X69" s="377"/>
      <c r="Y69" s="257"/>
      <c r="Z69" s="377"/>
      <c r="AA69" s="258"/>
      <c r="AC69" s="773"/>
    </row>
    <row r="70" spans="1:29" ht="12" x14ac:dyDescent="0.2">
      <c r="B70" s="894" t="s">
        <v>68</v>
      </c>
      <c r="C70" s="178"/>
      <c r="D70" s="188">
        <v>927224.08</v>
      </c>
      <c r="E70" s="37"/>
      <c r="F70" s="307">
        <v>1521667.3</v>
      </c>
      <c r="G70" s="291"/>
      <c r="H70" s="484">
        <v>6379394.3799999999</v>
      </c>
      <c r="I70" s="369"/>
      <c r="J70" s="503">
        <v>1467288.48</v>
      </c>
      <c r="K70" s="500"/>
      <c r="L70" s="560">
        <v>1148842.1499999999</v>
      </c>
      <c r="M70" s="500"/>
      <c r="N70" s="503">
        <v>1138070</v>
      </c>
      <c r="O70" s="813"/>
      <c r="P70" s="503">
        <v>1491145</v>
      </c>
      <c r="Q70" s="813"/>
      <c r="R70" s="503">
        <v>1325476.49</v>
      </c>
      <c r="S70" s="813"/>
      <c r="T70" s="503">
        <v>1548287.19</v>
      </c>
      <c r="U70" s="813"/>
      <c r="V70" s="503">
        <v>8517009.8100000005</v>
      </c>
      <c r="W70" s="813"/>
      <c r="X70" s="503">
        <v>28207036.82</v>
      </c>
      <c r="Y70" s="813"/>
      <c r="Z70" s="1032"/>
      <c r="AA70" s="932"/>
      <c r="AC70" s="773">
        <f t="shared" ref="AC70:AC71" si="14">AVERAGE(X70,V70,T70,R70,P70)</f>
        <v>8217791.0620000008</v>
      </c>
    </row>
    <row r="71" spans="1:29" thickBot="1" x14ac:dyDescent="0.25">
      <c r="B71" s="895" t="s">
        <v>69</v>
      </c>
      <c r="C71" s="180"/>
      <c r="D71" s="189">
        <v>2171127.9300000002</v>
      </c>
      <c r="E71" s="38"/>
      <c r="F71" s="127">
        <v>2952849.7</v>
      </c>
      <c r="G71" s="292"/>
      <c r="H71" s="489">
        <v>9053129.4199999999</v>
      </c>
      <c r="I71" s="370"/>
      <c r="J71" s="488">
        <v>11213785.75</v>
      </c>
      <c r="K71" s="501"/>
      <c r="L71" s="561">
        <v>11016883.82</v>
      </c>
      <c r="M71" s="501"/>
      <c r="N71" s="816">
        <v>9787424</v>
      </c>
      <c r="O71" s="814"/>
      <c r="P71" s="816">
        <v>11060148</v>
      </c>
      <c r="Q71" s="814"/>
      <c r="R71" s="816">
        <v>13688985.1</v>
      </c>
      <c r="S71" s="814"/>
      <c r="T71" s="816">
        <v>13419767.460000001</v>
      </c>
      <c r="U71" s="814"/>
      <c r="V71" s="816">
        <v>14804863.99</v>
      </c>
      <c r="W71" s="814"/>
      <c r="X71" s="816">
        <v>17381423.23</v>
      </c>
      <c r="Y71" s="814"/>
      <c r="Z71" s="1033"/>
      <c r="AA71" s="507"/>
      <c r="AB71" s="604"/>
      <c r="AC71" s="774">
        <f t="shared" si="14"/>
        <v>14071037.556</v>
      </c>
    </row>
    <row r="72" spans="1:29" thickTop="1" x14ac:dyDescent="0.2">
      <c r="B72" s="92"/>
      <c r="C72" s="39"/>
      <c r="D72" s="93"/>
      <c r="E72" s="39"/>
      <c r="F72" s="61"/>
      <c r="G72" s="257"/>
      <c r="H72" s="250"/>
      <c r="I72" s="257"/>
      <c r="J72" s="250"/>
      <c r="K72" s="257"/>
      <c r="L72" s="250"/>
      <c r="M72" s="257"/>
      <c r="N72" s="250"/>
      <c r="O72" s="257"/>
      <c r="P72" s="250"/>
      <c r="Q72" s="257"/>
      <c r="R72" s="250"/>
      <c r="S72" s="257"/>
      <c r="T72" s="250"/>
      <c r="U72" s="257"/>
      <c r="V72" s="250"/>
      <c r="W72" s="257"/>
      <c r="X72" s="250"/>
      <c r="Y72" s="257"/>
      <c r="Z72" s="250"/>
      <c r="AA72" s="250"/>
      <c r="AC72" s="59"/>
    </row>
    <row r="73" spans="1:29" x14ac:dyDescent="0.2">
      <c r="A73" s="3" t="s">
        <v>62</v>
      </c>
      <c r="B73" s="92"/>
      <c r="C73" s="39"/>
      <c r="D73" s="93"/>
      <c r="E73" s="39"/>
      <c r="F73" s="61"/>
      <c r="G73" s="257"/>
      <c r="H73" s="250"/>
      <c r="I73" s="257"/>
      <c r="J73" s="250"/>
      <c r="K73" s="257"/>
      <c r="L73" s="250"/>
      <c r="M73" s="257"/>
      <c r="N73" s="250"/>
      <c r="O73" s="257"/>
      <c r="P73" s="250"/>
      <c r="Q73" s="257"/>
      <c r="R73" s="250"/>
      <c r="S73" s="257"/>
      <c r="T73" s="250" t="s">
        <v>26</v>
      </c>
      <c r="U73" s="257"/>
      <c r="V73" s="250" t="s">
        <v>26</v>
      </c>
      <c r="W73" s="257"/>
      <c r="X73" s="250" t="s">
        <v>26</v>
      </c>
      <c r="Y73" s="257"/>
      <c r="Z73" s="250" t="s">
        <v>26</v>
      </c>
      <c r="AA73" s="250"/>
      <c r="AC73" s="59"/>
    </row>
    <row r="74" spans="1:29" thickBot="1" x14ac:dyDescent="0.25">
      <c r="B74" s="92"/>
      <c r="C74" s="39"/>
      <c r="D74" s="93"/>
      <c r="E74" s="39"/>
      <c r="F74" s="61"/>
      <c r="G74" s="257"/>
      <c r="H74" s="250"/>
      <c r="I74" s="257"/>
      <c r="J74" s="250"/>
      <c r="K74" s="257"/>
      <c r="L74" s="250"/>
      <c r="M74" s="257"/>
      <c r="N74" s="250"/>
      <c r="O74" s="257"/>
      <c r="P74" s="250"/>
      <c r="Q74" s="257"/>
      <c r="R74" s="250"/>
      <c r="S74" s="257"/>
      <c r="T74" s="250"/>
      <c r="U74" s="257"/>
      <c r="V74" s="250"/>
      <c r="W74" s="257"/>
      <c r="X74" s="250"/>
      <c r="Y74" s="257"/>
      <c r="Z74" s="250"/>
      <c r="AA74" s="250"/>
      <c r="AB74" s="12"/>
      <c r="AC74" s="12"/>
    </row>
    <row r="75" spans="1:29" ht="14.25" thickTop="1" thickBot="1" x14ac:dyDescent="0.25">
      <c r="B75" s="866"/>
      <c r="C75" s="1153" t="s">
        <v>39</v>
      </c>
      <c r="D75" s="1152"/>
      <c r="E75" s="1153" t="s">
        <v>40</v>
      </c>
      <c r="F75" s="1153"/>
      <c r="G75" s="1150" t="s">
        <v>97</v>
      </c>
      <c r="H75" s="1134"/>
      <c r="I75" s="1133" t="s">
        <v>108</v>
      </c>
      <c r="J75" s="1133"/>
      <c r="K75" s="1150" t="s">
        <v>109</v>
      </c>
      <c r="L75" s="1133"/>
      <c r="M75" s="1150" t="s">
        <v>111</v>
      </c>
      <c r="N75" s="1134"/>
      <c r="O75" s="1133" t="s">
        <v>164</v>
      </c>
      <c r="P75" s="1134"/>
      <c r="Q75" s="1133" t="s">
        <v>169</v>
      </c>
      <c r="R75" s="1134"/>
      <c r="S75" s="1133" t="s">
        <v>176</v>
      </c>
      <c r="T75" s="1134"/>
      <c r="U75" s="1133" t="s">
        <v>179</v>
      </c>
      <c r="V75" s="1134"/>
      <c r="W75" s="1133" t="s">
        <v>183</v>
      </c>
      <c r="X75" s="1134"/>
      <c r="Y75" s="1133" t="s">
        <v>187</v>
      </c>
      <c r="Z75" s="1134"/>
      <c r="AA75" s="608"/>
      <c r="AB75" s="1182" t="s">
        <v>118</v>
      </c>
      <c r="AC75" s="1169"/>
    </row>
    <row r="76" spans="1:29" ht="12" x14ac:dyDescent="0.2">
      <c r="B76" s="45" t="s">
        <v>43</v>
      </c>
      <c r="C76" s="33"/>
      <c r="D76" s="150"/>
      <c r="E76" s="33"/>
      <c r="F76" s="33"/>
      <c r="G76" s="280"/>
      <c r="H76" s="360"/>
      <c r="I76" s="358"/>
      <c r="J76" s="358"/>
      <c r="K76" s="280"/>
      <c r="L76" s="358"/>
      <c r="M76" s="280"/>
      <c r="N76" s="360"/>
      <c r="O76" s="358"/>
      <c r="P76" s="360"/>
      <c r="Q76" s="358"/>
      <c r="R76" s="360"/>
      <c r="S76" s="358"/>
      <c r="T76" s="360"/>
      <c r="U76" s="358"/>
      <c r="V76" s="360"/>
      <c r="W76" s="358"/>
      <c r="X76" s="360"/>
      <c r="Y76" s="358"/>
      <c r="Z76" s="360"/>
      <c r="AA76" s="589"/>
      <c r="AC76" s="583"/>
    </row>
    <row r="77" spans="1:29" ht="12" x14ac:dyDescent="0.2">
      <c r="B77" s="46" t="s">
        <v>44</v>
      </c>
      <c r="C77" s="34"/>
      <c r="D77" s="191"/>
      <c r="E77" s="34"/>
      <c r="F77" s="117"/>
      <c r="G77" s="281"/>
      <c r="H77" s="383"/>
      <c r="I77" s="254"/>
      <c r="J77" s="259"/>
      <c r="K77" s="281"/>
      <c r="L77" s="259"/>
      <c r="M77" s="281"/>
      <c r="N77" s="383"/>
      <c r="O77" s="254"/>
      <c r="P77" s="383"/>
      <c r="Q77" s="254"/>
      <c r="R77" s="383"/>
      <c r="S77" s="254"/>
      <c r="T77" s="383"/>
      <c r="U77" s="254"/>
      <c r="V77" s="383"/>
      <c r="W77" s="254"/>
      <c r="X77" s="383"/>
      <c r="Y77" s="254"/>
      <c r="Z77" s="383"/>
      <c r="AA77" s="914"/>
      <c r="AC77" s="583"/>
    </row>
    <row r="78" spans="1:29" ht="12" x14ac:dyDescent="0.2">
      <c r="B78" s="47" t="s">
        <v>45</v>
      </c>
      <c r="C78" s="34"/>
      <c r="D78" s="191">
        <v>0</v>
      </c>
      <c r="E78" s="34"/>
      <c r="F78" s="117">
        <v>0</v>
      </c>
      <c r="G78" s="281"/>
      <c r="H78" s="383">
        <v>0</v>
      </c>
      <c r="I78" s="254"/>
      <c r="J78" s="259">
        <v>0</v>
      </c>
      <c r="K78" s="281"/>
      <c r="L78" s="259">
        <v>0</v>
      </c>
      <c r="M78" s="281"/>
      <c r="N78" s="383">
        <v>0</v>
      </c>
      <c r="O78" s="254"/>
      <c r="P78" s="383">
        <v>0</v>
      </c>
      <c r="Q78" s="254"/>
      <c r="R78" s="383">
        <v>0</v>
      </c>
      <c r="S78" s="254"/>
      <c r="T78" s="383">
        <v>2</v>
      </c>
      <c r="U78" s="254"/>
      <c r="V78" s="383">
        <v>2</v>
      </c>
      <c r="W78" s="254"/>
      <c r="X78" s="383">
        <v>3</v>
      </c>
      <c r="Y78" s="254"/>
      <c r="Z78" s="383">
        <v>2</v>
      </c>
      <c r="AA78" s="914"/>
      <c r="AC78" s="601">
        <f t="shared" ref="AC78:AC79" si="15">AVERAGE(X78,V78,T78,R78,Z78)</f>
        <v>1.8</v>
      </c>
    </row>
    <row r="79" spans="1:29" ht="12" x14ac:dyDescent="0.2">
      <c r="B79" s="47" t="s">
        <v>144</v>
      </c>
      <c r="C79" s="34"/>
      <c r="D79" s="191">
        <v>0</v>
      </c>
      <c r="E79" s="34"/>
      <c r="F79" s="117">
        <v>1</v>
      </c>
      <c r="G79" s="281"/>
      <c r="H79" s="383">
        <v>2</v>
      </c>
      <c r="I79" s="254"/>
      <c r="J79" s="259">
        <v>2</v>
      </c>
      <c r="K79" s="281"/>
      <c r="L79" s="259">
        <v>1</v>
      </c>
      <c r="M79" s="281"/>
      <c r="N79" s="383">
        <v>0</v>
      </c>
      <c r="O79" s="254"/>
      <c r="P79" s="383">
        <v>0</v>
      </c>
      <c r="Q79" s="254"/>
      <c r="R79" s="383">
        <v>0</v>
      </c>
      <c r="S79" s="254"/>
      <c r="T79" s="383">
        <v>0</v>
      </c>
      <c r="U79" s="254"/>
      <c r="V79" s="383">
        <v>0</v>
      </c>
      <c r="W79" s="254"/>
      <c r="X79" s="383">
        <v>0</v>
      </c>
      <c r="Y79" s="254"/>
      <c r="Z79" s="383">
        <v>1</v>
      </c>
      <c r="AA79" s="914"/>
      <c r="AC79" s="601">
        <f t="shared" si="15"/>
        <v>0.2</v>
      </c>
    </row>
    <row r="80" spans="1:29" ht="12" x14ac:dyDescent="0.2">
      <c r="B80" s="46" t="s">
        <v>46</v>
      </c>
      <c r="C80" s="34"/>
      <c r="D80" s="153"/>
      <c r="E80" s="34"/>
      <c r="F80" s="53"/>
      <c r="G80" s="281"/>
      <c r="H80" s="363"/>
      <c r="I80" s="254"/>
      <c r="J80" s="121"/>
      <c r="K80" s="281"/>
      <c r="L80" s="121"/>
      <c r="M80" s="281"/>
      <c r="N80" s="363"/>
      <c r="O80" s="254"/>
      <c r="P80" s="363"/>
      <c r="Q80" s="254"/>
      <c r="R80" s="363"/>
      <c r="S80" s="254"/>
      <c r="T80" s="363"/>
      <c r="U80" s="254"/>
      <c r="V80" s="363"/>
      <c r="W80" s="254"/>
      <c r="X80" s="363"/>
      <c r="Y80" s="254"/>
      <c r="Z80" s="363"/>
      <c r="AA80" s="915"/>
      <c r="AC80" s="601"/>
    </row>
    <row r="81" spans="2:29" ht="12" x14ac:dyDescent="0.2">
      <c r="B81" s="47" t="s">
        <v>45</v>
      </c>
      <c r="C81" s="34"/>
      <c r="D81" s="153">
        <v>0</v>
      </c>
      <c r="E81" s="34"/>
      <c r="F81" s="53">
        <v>0</v>
      </c>
      <c r="G81" s="281"/>
      <c r="H81" s="363">
        <v>0</v>
      </c>
      <c r="I81" s="254"/>
      <c r="J81" s="121">
        <v>0</v>
      </c>
      <c r="K81" s="281"/>
      <c r="L81" s="121">
        <v>0</v>
      </c>
      <c r="M81" s="281"/>
      <c r="N81" s="363">
        <v>1</v>
      </c>
      <c r="O81" s="254"/>
      <c r="P81" s="363">
        <v>1</v>
      </c>
      <c r="Q81" s="254"/>
      <c r="R81" s="363">
        <v>0</v>
      </c>
      <c r="S81" s="254"/>
      <c r="T81" s="363">
        <v>0</v>
      </c>
      <c r="U81" s="254"/>
      <c r="V81" s="363">
        <v>0</v>
      </c>
      <c r="W81" s="254"/>
      <c r="X81" s="363">
        <v>0</v>
      </c>
      <c r="Y81" s="254"/>
      <c r="Z81" s="363">
        <v>0</v>
      </c>
      <c r="AA81" s="915"/>
      <c r="AC81" s="601">
        <f t="shared" ref="AC81:AC83" si="16">AVERAGE(X81,V81,T81,R81,Z81)</f>
        <v>0</v>
      </c>
    </row>
    <row r="82" spans="2:29" ht="12" x14ac:dyDescent="0.2">
      <c r="B82" s="615" t="s">
        <v>144</v>
      </c>
      <c r="C82" s="34"/>
      <c r="D82" s="153">
        <v>1</v>
      </c>
      <c r="E82" s="34"/>
      <c r="F82" s="53">
        <v>0</v>
      </c>
      <c r="G82" s="281"/>
      <c r="H82" s="363">
        <v>0</v>
      </c>
      <c r="I82" s="254"/>
      <c r="J82" s="121">
        <v>0</v>
      </c>
      <c r="K82" s="281"/>
      <c r="L82" s="121">
        <v>0</v>
      </c>
      <c r="M82" s="281"/>
      <c r="N82" s="363">
        <v>0</v>
      </c>
      <c r="O82" s="254"/>
      <c r="P82" s="363">
        <v>0</v>
      </c>
      <c r="Q82" s="254"/>
      <c r="R82" s="363">
        <v>0</v>
      </c>
      <c r="S82" s="254"/>
      <c r="T82" s="363">
        <v>0</v>
      </c>
      <c r="U82" s="254"/>
      <c r="V82" s="363">
        <v>0</v>
      </c>
      <c r="W82" s="254"/>
      <c r="X82" s="363">
        <v>0</v>
      </c>
      <c r="Y82" s="254"/>
      <c r="Z82" s="363">
        <v>0</v>
      </c>
      <c r="AA82" s="915"/>
      <c r="AC82" s="601">
        <f t="shared" si="16"/>
        <v>0</v>
      </c>
    </row>
    <row r="83" spans="2:29" thickBot="1" x14ac:dyDescent="0.25">
      <c r="B83" s="50" t="s">
        <v>12</v>
      </c>
      <c r="C83" s="99"/>
      <c r="D83" s="155">
        <f>SUM(D78:D82)</f>
        <v>1</v>
      </c>
      <c r="E83" s="99"/>
      <c r="F83" s="98">
        <f>SUM(F78:F82)</f>
        <v>1</v>
      </c>
      <c r="G83" s="309"/>
      <c r="H83" s="384">
        <f>SUM(H78:H82)</f>
        <v>2</v>
      </c>
      <c r="I83" s="378"/>
      <c r="J83" s="434">
        <f>SUM(J78:J82)</f>
        <v>2</v>
      </c>
      <c r="K83" s="309"/>
      <c r="L83" s="434">
        <f>SUM(L78:L82)</f>
        <v>1</v>
      </c>
      <c r="M83" s="309"/>
      <c r="N83" s="384">
        <f>SUM(N78:N82)</f>
        <v>1</v>
      </c>
      <c r="O83" s="378"/>
      <c r="P83" s="384">
        <f>SUM(P78:P82)</f>
        <v>1</v>
      </c>
      <c r="Q83" s="378"/>
      <c r="R83" s="384">
        <f>SUM(R78:R82)</f>
        <v>0</v>
      </c>
      <c r="S83" s="378"/>
      <c r="T83" s="384">
        <f>SUM(T78:T82)</f>
        <v>2</v>
      </c>
      <c r="U83" s="378"/>
      <c r="V83" s="384">
        <f>SUM(V78:V82)</f>
        <v>2</v>
      </c>
      <c r="W83" s="378"/>
      <c r="X83" s="384">
        <f>SUM(X78:X82)</f>
        <v>3</v>
      </c>
      <c r="Y83" s="378"/>
      <c r="Z83" s="384">
        <f>SUM(Z78:Z82)</f>
        <v>3</v>
      </c>
      <c r="AA83" s="925"/>
      <c r="AB83" s="604"/>
      <c r="AC83" s="809">
        <f t="shared" si="16"/>
        <v>2</v>
      </c>
    </row>
    <row r="84" spans="2:29" thickTop="1" x14ac:dyDescent="0.2">
      <c r="B84" s="627" t="s">
        <v>92</v>
      </c>
      <c r="C84" s="811" t="s">
        <v>89</v>
      </c>
      <c r="D84" s="194" t="s">
        <v>90</v>
      </c>
      <c r="E84" s="147" t="s">
        <v>89</v>
      </c>
      <c r="F84" s="190" t="s">
        <v>90</v>
      </c>
      <c r="G84" s="310" t="s">
        <v>89</v>
      </c>
      <c r="H84" s="385" t="s">
        <v>90</v>
      </c>
      <c r="I84" s="379" t="s">
        <v>89</v>
      </c>
      <c r="J84" s="435" t="s">
        <v>90</v>
      </c>
      <c r="K84" s="310" t="s">
        <v>89</v>
      </c>
      <c r="L84" s="435" t="s">
        <v>90</v>
      </c>
      <c r="M84" s="310" t="s">
        <v>89</v>
      </c>
      <c r="N84" s="385" t="s">
        <v>90</v>
      </c>
      <c r="O84" s="379" t="s">
        <v>89</v>
      </c>
      <c r="P84" s="385" t="s">
        <v>90</v>
      </c>
      <c r="Q84" s="379" t="s">
        <v>89</v>
      </c>
      <c r="R84" s="385" t="s">
        <v>90</v>
      </c>
      <c r="S84" s="379" t="s">
        <v>89</v>
      </c>
      <c r="T84" s="385" t="s">
        <v>90</v>
      </c>
      <c r="U84" s="379" t="s">
        <v>89</v>
      </c>
      <c r="V84" s="385" t="s">
        <v>90</v>
      </c>
      <c r="W84" s="379" t="s">
        <v>89</v>
      </c>
      <c r="X84" s="385" t="s">
        <v>90</v>
      </c>
      <c r="Y84" s="379" t="s">
        <v>89</v>
      </c>
      <c r="Z84" s="385" t="s">
        <v>90</v>
      </c>
      <c r="AA84" s="608"/>
      <c r="AB84" s="310" t="s">
        <v>89</v>
      </c>
      <c r="AC84" s="818" t="s">
        <v>90</v>
      </c>
    </row>
    <row r="85" spans="2:29" ht="12" x14ac:dyDescent="0.2">
      <c r="B85" s="47" t="s">
        <v>73</v>
      </c>
      <c r="C85" s="148">
        <v>1</v>
      </c>
      <c r="D85" s="196">
        <f>C85/D$83</f>
        <v>1</v>
      </c>
      <c r="E85" s="148">
        <v>1</v>
      </c>
      <c r="F85" s="202">
        <f t="shared" ref="F85:F92" si="17">E85/F$83</f>
        <v>1</v>
      </c>
      <c r="G85" s="195">
        <v>2</v>
      </c>
      <c r="H85" s="386">
        <f t="shared" ref="H85:H92" si="18">G85/H$83</f>
        <v>1</v>
      </c>
      <c r="I85" s="148">
        <v>2</v>
      </c>
      <c r="J85" s="202">
        <f t="shared" ref="J85:J92" si="19">I85/J$83</f>
        <v>1</v>
      </c>
      <c r="K85" s="195">
        <v>1</v>
      </c>
      <c r="L85" s="202">
        <f t="shared" ref="L85:N92" si="20">K85/L$83</f>
        <v>1</v>
      </c>
      <c r="M85" s="195">
        <v>1</v>
      </c>
      <c r="N85" s="386">
        <f t="shared" si="20"/>
        <v>1</v>
      </c>
      <c r="O85" s="148">
        <v>1</v>
      </c>
      <c r="P85" s="386">
        <f t="shared" ref="P85:P90" si="21">O85/P$83</f>
        <v>1</v>
      </c>
      <c r="Q85" s="148">
        <v>0</v>
      </c>
      <c r="R85" s="386">
        <v>0</v>
      </c>
      <c r="S85" s="148">
        <f>2</f>
        <v>2</v>
      </c>
      <c r="T85" s="386">
        <f t="shared" ref="T85:T90" si="22">S85/T$83</f>
        <v>1</v>
      </c>
      <c r="U85" s="148">
        <v>2</v>
      </c>
      <c r="V85" s="386">
        <f t="shared" ref="V85:V91" si="23">U85/V$83</f>
        <v>1</v>
      </c>
      <c r="W85" s="148">
        <v>2</v>
      </c>
      <c r="X85" s="386">
        <f t="shared" ref="X85:X91" si="24">W85/X$83</f>
        <v>0.66666666666666663</v>
      </c>
      <c r="Y85" s="148">
        <v>3</v>
      </c>
      <c r="Z85" s="386">
        <f t="shared" ref="Z85:Z91" si="25">Y85/Z$83</f>
        <v>1</v>
      </c>
      <c r="AA85" s="919"/>
      <c r="AB85" s="1">
        <f t="shared" ref="AB85:AB92" si="26">AVERAGE(W85,U85,S85,Q85,Y85)</f>
        <v>1.8</v>
      </c>
      <c r="AC85" s="775">
        <f t="shared" ref="AC85:AC92" si="27">AVERAGE(X85,V85,T85,R85,Z85)</f>
        <v>0.73333333333333328</v>
      </c>
    </row>
    <row r="86" spans="2:29" ht="12" x14ac:dyDescent="0.2">
      <c r="B86" s="886" t="s">
        <v>74</v>
      </c>
      <c r="C86" s="148">
        <v>0</v>
      </c>
      <c r="D86" s="196">
        <f t="shared" ref="D86:D104" si="28">C86/$D$83</f>
        <v>0</v>
      </c>
      <c r="E86" s="148">
        <v>0</v>
      </c>
      <c r="F86" s="202">
        <f t="shared" si="17"/>
        <v>0</v>
      </c>
      <c r="G86" s="195">
        <v>0</v>
      </c>
      <c r="H86" s="202">
        <f t="shared" si="18"/>
        <v>0</v>
      </c>
      <c r="I86" s="148">
        <v>0</v>
      </c>
      <c r="J86" s="202">
        <f t="shared" si="19"/>
        <v>0</v>
      </c>
      <c r="K86" s="195">
        <v>0</v>
      </c>
      <c r="L86" s="202">
        <f t="shared" si="20"/>
        <v>0</v>
      </c>
      <c r="M86" s="195">
        <v>0</v>
      </c>
      <c r="N86" s="386">
        <f t="shared" si="20"/>
        <v>0</v>
      </c>
      <c r="O86" s="148">
        <v>0</v>
      </c>
      <c r="P86" s="386">
        <f t="shared" si="21"/>
        <v>0</v>
      </c>
      <c r="Q86" s="148">
        <v>0</v>
      </c>
      <c r="R86" s="386">
        <v>0</v>
      </c>
      <c r="S86" s="148">
        <v>0</v>
      </c>
      <c r="T86" s="386">
        <f t="shared" si="22"/>
        <v>0</v>
      </c>
      <c r="U86" s="148">
        <v>0</v>
      </c>
      <c r="V86" s="386">
        <f t="shared" si="23"/>
        <v>0</v>
      </c>
      <c r="W86" s="148">
        <v>0</v>
      </c>
      <c r="X86" s="386">
        <f t="shared" si="24"/>
        <v>0</v>
      </c>
      <c r="Y86" s="148">
        <v>0</v>
      </c>
      <c r="Z86" s="386">
        <f t="shared" si="25"/>
        <v>0</v>
      </c>
      <c r="AA86" s="919"/>
      <c r="AB86" s="1">
        <f t="shared" si="26"/>
        <v>0</v>
      </c>
      <c r="AC86" s="775">
        <f t="shared" si="27"/>
        <v>0</v>
      </c>
    </row>
    <row r="87" spans="2:29" ht="12" x14ac:dyDescent="0.2">
      <c r="B87" s="886" t="s">
        <v>75</v>
      </c>
      <c r="C87" s="148">
        <v>0</v>
      </c>
      <c r="D87" s="196">
        <f t="shared" si="28"/>
        <v>0</v>
      </c>
      <c r="E87" s="148">
        <v>0</v>
      </c>
      <c r="F87" s="202">
        <f t="shared" si="17"/>
        <v>0</v>
      </c>
      <c r="G87" s="195">
        <v>0</v>
      </c>
      <c r="H87" s="202">
        <f t="shared" si="18"/>
        <v>0</v>
      </c>
      <c r="I87" s="148">
        <v>0</v>
      </c>
      <c r="J87" s="202">
        <f t="shared" si="19"/>
        <v>0</v>
      </c>
      <c r="K87" s="195">
        <v>0</v>
      </c>
      <c r="L87" s="202">
        <f t="shared" si="20"/>
        <v>0</v>
      </c>
      <c r="M87" s="195">
        <v>0</v>
      </c>
      <c r="N87" s="386">
        <f t="shared" si="20"/>
        <v>0</v>
      </c>
      <c r="O87" s="148">
        <v>0</v>
      </c>
      <c r="P87" s="386">
        <f t="shared" si="21"/>
        <v>0</v>
      </c>
      <c r="Q87" s="148">
        <v>0</v>
      </c>
      <c r="R87" s="386">
        <v>0</v>
      </c>
      <c r="S87" s="148">
        <v>0</v>
      </c>
      <c r="T87" s="386">
        <f t="shared" si="22"/>
        <v>0</v>
      </c>
      <c r="U87" s="148">
        <v>0</v>
      </c>
      <c r="V87" s="386">
        <f t="shared" si="23"/>
        <v>0</v>
      </c>
      <c r="W87" s="148">
        <v>0</v>
      </c>
      <c r="X87" s="386">
        <f t="shared" si="24"/>
        <v>0</v>
      </c>
      <c r="Y87" s="148">
        <v>0</v>
      </c>
      <c r="Z87" s="386">
        <f t="shared" si="25"/>
        <v>0</v>
      </c>
      <c r="AA87" s="919"/>
      <c r="AB87" s="1">
        <f t="shared" si="26"/>
        <v>0</v>
      </c>
      <c r="AC87" s="775">
        <f t="shared" si="27"/>
        <v>0</v>
      </c>
    </row>
    <row r="88" spans="2:29" ht="12" x14ac:dyDescent="0.2">
      <c r="B88" s="886" t="s">
        <v>76</v>
      </c>
      <c r="C88" s="148">
        <v>0</v>
      </c>
      <c r="D88" s="196">
        <f t="shared" si="28"/>
        <v>0</v>
      </c>
      <c r="E88" s="148">
        <v>0</v>
      </c>
      <c r="F88" s="202">
        <f t="shared" si="17"/>
        <v>0</v>
      </c>
      <c r="G88" s="195">
        <v>0</v>
      </c>
      <c r="H88" s="202">
        <f t="shared" si="18"/>
        <v>0</v>
      </c>
      <c r="I88" s="148">
        <v>0</v>
      </c>
      <c r="J88" s="202">
        <f t="shared" si="19"/>
        <v>0</v>
      </c>
      <c r="K88" s="195">
        <v>0</v>
      </c>
      <c r="L88" s="202">
        <f t="shared" si="20"/>
        <v>0</v>
      </c>
      <c r="M88" s="195">
        <v>0</v>
      </c>
      <c r="N88" s="386">
        <f t="shared" si="20"/>
        <v>0</v>
      </c>
      <c r="O88" s="148">
        <v>0</v>
      </c>
      <c r="P88" s="386">
        <f t="shared" si="21"/>
        <v>0</v>
      </c>
      <c r="Q88" s="148">
        <v>0</v>
      </c>
      <c r="R88" s="386">
        <v>0</v>
      </c>
      <c r="S88" s="148">
        <v>0</v>
      </c>
      <c r="T88" s="386">
        <f t="shared" si="22"/>
        <v>0</v>
      </c>
      <c r="U88" s="148">
        <v>0</v>
      </c>
      <c r="V88" s="386">
        <f t="shared" si="23"/>
        <v>0</v>
      </c>
      <c r="W88" s="148">
        <v>0</v>
      </c>
      <c r="X88" s="386">
        <f t="shared" si="24"/>
        <v>0</v>
      </c>
      <c r="Y88" s="148">
        <v>0</v>
      </c>
      <c r="Z88" s="386">
        <f t="shared" si="25"/>
        <v>0</v>
      </c>
      <c r="AA88" s="919"/>
      <c r="AB88" s="1">
        <f t="shared" si="26"/>
        <v>0</v>
      </c>
      <c r="AC88" s="775">
        <f t="shared" si="27"/>
        <v>0</v>
      </c>
    </row>
    <row r="89" spans="2:29" ht="12" x14ac:dyDescent="0.2">
      <c r="B89" s="886" t="s">
        <v>77</v>
      </c>
      <c r="C89" s="148">
        <v>0</v>
      </c>
      <c r="D89" s="196">
        <f t="shared" si="28"/>
        <v>0</v>
      </c>
      <c r="E89" s="148">
        <v>0</v>
      </c>
      <c r="F89" s="202">
        <f t="shared" si="17"/>
        <v>0</v>
      </c>
      <c r="G89" s="195">
        <v>0</v>
      </c>
      <c r="H89" s="202">
        <f t="shared" si="18"/>
        <v>0</v>
      </c>
      <c r="I89" s="148">
        <v>0</v>
      </c>
      <c r="J89" s="202">
        <f t="shared" si="19"/>
        <v>0</v>
      </c>
      <c r="K89" s="195">
        <v>0</v>
      </c>
      <c r="L89" s="202">
        <f t="shared" si="20"/>
        <v>0</v>
      </c>
      <c r="M89" s="195">
        <v>0</v>
      </c>
      <c r="N89" s="386">
        <f t="shared" si="20"/>
        <v>0</v>
      </c>
      <c r="O89" s="148">
        <v>0</v>
      </c>
      <c r="P89" s="386">
        <f t="shared" si="21"/>
        <v>0</v>
      </c>
      <c r="Q89" s="148">
        <v>0</v>
      </c>
      <c r="R89" s="386">
        <v>0</v>
      </c>
      <c r="S89" s="148">
        <v>0</v>
      </c>
      <c r="T89" s="386">
        <f t="shared" si="22"/>
        <v>0</v>
      </c>
      <c r="U89" s="148">
        <v>0</v>
      </c>
      <c r="V89" s="386">
        <f t="shared" si="23"/>
        <v>0</v>
      </c>
      <c r="W89" s="148">
        <v>0</v>
      </c>
      <c r="X89" s="386">
        <f t="shared" si="24"/>
        <v>0</v>
      </c>
      <c r="Y89" s="148">
        <v>0</v>
      </c>
      <c r="Z89" s="386">
        <f t="shared" si="25"/>
        <v>0</v>
      </c>
      <c r="AA89" s="919"/>
      <c r="AB89" s="1">
        <f t="shared" si="26"/>
        <v>0</v>
      </c>
      <c r="AC89" s="775">
        <f t="shared" si="27"/>
        <v>0</v>
      </c>
    </row>
    <row r="90" spans="2:29" ht="12" x14ac:dyDescent="0.2">
      <c r="B90" s="886" t="s">
        <v>78</v>
      </c>
      <c r="C90" s="148">
        <v>0</v>
      </c>
      <c r="D90" s="196">
        <f t="shared" si="28"/>
        <v>0</v>
      </c>
      <c r="E90" s="148">
        <v>0</v>
      </c>
      <c r="F90" s="202">
        <f t="shared" si="17"/>
        <v>0</v>
      </c>
      <c r="G90" s="195">
        <v>0</v>
      </c>
      <c r="H90" s="202">
        <f t="shared" si="18"/>
        <v>0</v>
      </c>
      <c r="I90" s="148">
        <v>0</v>
      </c>
      <c r="J90" s="202">
        <f t="shared" si="19"/>
        <v>0</v>
      </c>
      <c r="K90" s="195">
        <v>0</v>
      </c>
      <c r="L90" s="202">
        <f t="shared" si="20"/>
        <v>0</v>
      </c>
      <c r="M90" s="195">
        <v>0</v>
      </c>
      <c r="N90" s="386">
        <f t="shared" si="20"/>
        <v>0</v>
      </c>
      <c r="O90" s="148">
        <v>0</v>
      </c>
      <c r="P90" s="386">
        <f t="shared" si="21"/>
        <v>0</v>
      </c>
      <c r="Q90" s="148">
        <v>0</v>
      </c>
      <c r="R90" s="386">
        <v>0</v>
      </c>
      <c r="S90" s="148">
        <v>0</v>
      </c>
      <c r="T90" s="386">
        <f t="shared" si="22"/>
        <v>0</v>
      </c>
      <c r="U90" s="148">
        <v>0</v>
      </c>
      <c r="V90" s="386">
        <f t="shared" si="23"/>
        <v>0</v>
      </c>
      <c r="W90" s="148">
        <v>0</v>
      </c>
      <c r="X90" s="386">
        <f t="shared" si="24"/>
        <v>0</v>
      </c>
      <c r="Y90" s="148">
        <v>0</v>
      </c>
      <c r="Z90" s="386">
        <f t="shared" si="25"/>
        <v>0</v>
      </c>
      <c r="AA90" s="919"/>
      <c r="AB90" s="1">
        <f t="shared" si="26"/>
        <v>0</v>
      </c>
      <c r="AC90" s="775">
        <f t="shared" si="27"/>
        <v>0</v>
      </c>
    </row>
    <row r="91" spans="2:29" ht="12" x14ac:dyDescent="0.2">
      <c r="B91" s="886" t="s">
        <v>172</v>
      </c>
      <c r="C91" s="146"/>
      <c r="D91" s="196"/>
      <c r="E91" s="146"/>
      <c r="F91" s="202"/>
      <c r="G91" s="974"/>
      <c r="H91" s="977"/>
      <c r="I91" s="976"/>
      <c r="J91" s="977"/>
      <c r="K91" s="974"/>
      <c r="L91" s="977"/>
      <c r="M91" s="974"/>
      <c r="N91" s="975"/>
      <c r="O91" s="976"/>
      <c r="P91" s="975"/>
      <c r="Q91" s="146">
        <v>0</v>
      </c>
      <c r="R91" s="386">
        <v>0</v>
      </c>
      <c r="S91" s="146">
        <v>0</v>
      </c>
      <c r="T91" s="386"/>
      <c r="U91" s="146">
        <v>0</v>
      </c>
      <c r="V91" s="386">
        <f t="shared" si="23"/>
        <v>0</v>
      </c>
      <c r="W91" s="146">
        <v>1</v>
      </c>
      <c r="X91" s="386">
        <f t="shared" si="24"/>
        <v>0.33333333333333331</v>
      </c>
      <c r="Y91" s="146">
        <v>0</v>
      </c>
      <c r="Z91" s="386">
        <f t="shared" si="25"/>
        <v>0</v>
      </c>
      <c r="AA91" s="919"/>
      <c r="AB91" s="1">
        <f t="shared" si="26"/>
        <v>0.2</v>
      </c>
      <c r="AC91" s="775">
        <f t="shared" si="27"/>
        <v>8.3333333333333329E-2</v>
      </c>
    </row>
    <row r="92" spans="2:29" ht="12" x14ac:dyDescent="0.2">
      <c r="B92" s="886" t="s">
        <v>79</v>
      </c>
      <c r="C92" s="146">
        <v>0</v>
      </c>
      <c r="D92" s="196">
        <f t="shared" si="28"/>
        <v>0</v>
      </c>
      <c r="E92" s="146">
        <v>0</v>
      </c>
      <c r="F92" s="202">
        <f t="shared" si="17"/>
        <v>0</v>
      </c>
      <c r="G92" s="197">
        <v>0</v>
      </c>
      <c r="H92" s="202">
        <f t="shared" si="18"/>
        <v>0</v>
      </c>
      <c r="I92" s="146">
        <v>0</v>
      </c>
      <c r="J92" s="202">
        <f t="shared" si="19"/>
        <v>0</v>
      </c>
      <c r="K92" s="197">
        <v>0</v>
      </c>
      <c r="L92" s="202">
        <f t="shared" si="20"/>
        <v>0</v>
      </c>
      <c r="M92" s="197">
        <v>0</v>
      </c>
      <c r="N92" s="386">
        <f t="shared" si="20"/>
        <v>0</v>
      </c>
      <c r="O92" s="146">
        <v>0</v>
      </c>
      <c r="P92" s="386">
        <f>O92/P$83</f>
        <v>0</v>
      </c>
      <c r="Q92" s="146">
        <v>0</v>
      </c>
      <c r="R92" s="386">
        <v>0</v>
      </c>
      <c r="S92" s="146">
        <v>0</v>
      </c>
      <c r="T92" s="386">
        <f>S92/T$83</f>
        <v>0</v>
      </c>
      <c r="U92" s="146">
        <v>0</v>
      </c>
      <c r="V92" s="386">
        <f>U92/V$83</f>
        <v>0</v>
      </c>
      <c r="W92" s="146">
        <v>0</v>
      </c>
      <c r="X92" s="386">
        <f>W92/X$83</f>
        <v>0</v>
      </c>
      <c r="Y92" s="146">
        <v>0</v>
      </c>
      <c r="Z92" s="386">
        <f>Y92/Z$83</f>
        <v>0</v>
      </c>
      <c r="AA92" s="919"/>
      <c r="AB92" s="1">
        <f t="shared" si="26"/>
        <v>0</v>
      </c>
      <c r="AC92" s="775">
        <f t="shared" si="27"/>
        <v>0</v>
      </c>
    </row>
    <row r="93" spans="2:29" ht="12" x14ac:dyDescent="0.2">
      <c r="B93" s="887" t="s">
        <v>93</v>
      </c>
      <c r="C93" s="989"/>
      <c r="D93" s="196"/>
      <c r="E93" s="206"/>
      <c r="F93" s="306"/>
      <c r="G93" s="311"/>
      <c r="H93" s="306"/>
      <c r="I93" s="206"/>
      <c r="J93" s="306"/>
      <c r="K93" s="311"/>
      <c r="L93" s="306"/>
      <c r="M93" s="311"/>
      <c r="N93" s="387"/>
      <c r="O93" s="206"/>
      <c r="P93" s="387"/>
      <c r="Q93" s="206"/>
      <c r="R93" s="387"/>
      <c r="S93" s="206"/>
      <c r="T93" s="387"/>
      <c r="U93" s="206"/>
      <c r="V93" s="387"/>
      <c r="W93" s="206"/>
      <c r="X93" s="387"/>
      <c r="Y93" s="206"/>
      <c r="Z93" s="387"/>
      <c r="AA93" s="920"/>
      <c r="AC93" s="775"/>
    </row>
    <row r="94" spans="2:29" ht="12" x14ac:dyDescent="0.2">
      <c r="B94" s="47" t="s">
        <v>80</v>
      </c>
      <c r="C94" s="259">
        <v>1</v>
      </c>
      <c r="D94" s="196">
        <f t="shared" si="28"/>
        <v>1</v>
      </c>
      <c r="E94" s="117">
        <v>1</v>
      </c>
      <c r="F94" s="234">
        <f>E94/F$83</f>
        <v>1</v>
      </c>
      <c r="G94" s="209">
        <v>2</v>
      </c>
      <c r="H94" s="202">
        <f>G94/H$83</f>
        <v>1</v>
      </c>
      <c r="I94" s="259">
        <v>2</v>
      </c>
      <c r="J94" s="202">
        <f>I94/J$83</f>
        <v>1</v>
      </c>
      <c r="K94" s="209">
        <v>1</v>
      </c>
      <c r="L94" s="202">
        <f>K94/L$83</f>
        <v>1</v>
      </c>
      <c r="M94" s="209">
        <v>0</v>
      </c>
      <c r="N94" s="386">
        <f>M94/N$83</f>
        <v>0</v>
      </c>
      <c r="O94" s="259">
        <v>0</v>
      </c>
      <c r="P94" s="386">
        <f>O94/P$83</f>
        <v>0</v>
      </c>
      <c r="Q94" s="259">
        <v>0</v>
      </c>
      <c r="R94" s="386">
        <v>0</v>
      </c>
      <c r="S94" s="259">
        <f>1</f>
        <v>1</v>
      </c>
      <c r="T94" s="386">
        <f>S94/T$83</f>
        <v>0.5</v>
      </c>
      <c r="U94" s="259">
        <v>1</v>
      </c>
      <c r="V94" s="386">
        <f>U94/V$83</f>
        <v>0.5</v>
      </c>
      <c r="W94" s="259">
        <v>2</v>
      </c>
      <c r="X94" s="386">
        <f>W94/X$83</f>
        <v>0.66666666666666663</v>
      </c>
      <c r="Y94" s="259">
        <v>1</v>
      </c>
      <c r="Z94" s="386">
        <f>Y94/Z$83</f>
        <v>0.33333333333333331</v>
      </c>
      <c r="AA94" s="919"/>
      <c r="AB94" s="600">
        <f t="shared" ref="AB94:AB95" si="29">AVERAGE(W94,U94,S94,Q94,Y94)</f>
        <v>1</v>
      </c>
      <c r="AC94" s="775">
        <f t="shared" ref="AC94:AC95" si="30">AVERAGE(X94,V94,T94,R94,Z94)</f>
        <v>0.39999999999999997</v>
      </c>
    </row>
    <row r="95" spans="2:29" ht="12" x14ac:dyDescent="0.2">
      <c r="B95" s="47" t="s">
        <v>81</v>
      </c>
      <c r="C95" s="259">
        <v>0</v>
      </c>
      <c r="D95" s="196">
        <f t="shared" si="28"/>
        <v>0</v>
      </c>
      <c r="E95" s="204">
        <v>0</v>
      </c>
      <c r="F95" s="234">
        <f>E95/F$83</f>
        <v>0</v>
      </c>
      <c r="G95" s="340">
        <v>0</v>
      </c>
      <c r="H95" s="202">
        <f>G95/H$83</f>
        <v>0</v>
      </c>
      <c r="I95" s="380">
        <v>0</v>
      </c>
      <c r="J95" s="202">
        <f>I95/J$83</f>
        <v>0</v>
      </c>
      <c r="K95" s="340">
        <v>0</v>
      </c>
      <c r="L95" s="202">
        <f>K95/L$83</f>
        <v>0</v>
      </c>
      <c r="M95" s="340">
        <v>1</v>
      </c>
      <c r="N95" s="386">
        <f>M95/N$83</f>
        <v>1</v>
      </c>
      <c r="O95" s="380">
        <v>1</v>
      </c>
      <c r="P95" s="386">
        <f>O95/P$83</f>
        <v>1</v>
      </c>
      <c r="Q95" s="380">
        <v>0</v>
      </c>
      <c r="R95" s="386">
        <v>0</v>
      </c>
      <c r="S95" s="380">
        <f>1</f>
        <v>1</v>
      </c>
      <c r="T95" s="386">
        <f>S95/T$83</f>
        <v>0.5</v>
      </c>
      <c r="U95" s="380">
        <v>1</v>
      </c>
      <c r="V95" s="386">
        <f>U95/V$83</f>
        <v>0.5</v>
      </c>
      <c r="W95" s="380">
        <v>1</v>
      </c>
      <c r="X95" s="386">
        <f>W95/X$83</f>
        <v>0.33333333333333331</v>
      </c>
      <c r="Y95" s="380">
        <v>2</v>
      </c>
      <c r="Z95" s="386">
        <f>Y95/Z$83</f>
        <v>0.66666666666666663</v>
      </c>
      <c r="AA95" s="919"/>
      <c r="AB95" s="600">
        <f t="shared" si="29"/>
        <v>1</v>
      </c>
      <c r="AC95" s="775">
        <f t="shared" si="30"/>
        <v>0.4</v>
      </c>
    </row>
    <row r="96" spans="2:29" ht="12" x14ac:dyDescent="0.2">
      <c r="B96" s="887" t="s">
        <v>94</v>
      </c>
      <c r="C96" s="990"/>
      <c r="D96" s="196"/>
      <c r="E96" s="207"/>
      <c r="F96" s="234"/>
      <c r="G96" s="298"/>
      <c r="H96" s="202"/>
      <c r="I96" s="381"/>
      <c r="J96" s="202"/>
      <c r="K96" s="298"/>
      <c r="L96" s="202"/>
      <c r="M96" s="298"/>
      <c r="N96" s="386"/>
      <c r="O96" s="381"/>
      <c r="P96" s="386"/>
      <c r="Q96" s="381"/>
      <c r="R96" s="386"/>
      <c r="S96" s="381"/>
      <c r="T96" s="386"/>
      <c r="U96" s="381"/>
      <c r="V96" s="386"/>
      <c r="W96" s="381"/>
      <c r="X96" s="386"/>
      <c r="Y96" s="381"/>
      <c r="Z96" s="386"/>
      <c r="AA96" s="919"/>
      <c r="AB96" s="600"/>
      <c r="AC96" s="775"/>
    </row>
    <row r="97" spans="1:31" ht="12" x14ac:dyDescent="0.2">
      <c r="B97" s="47" t="s">
        <v>82</v>
      </c>
      <c r="C97" s="117">
        <v>0</v>
      </c>
      <c r="D97" s="196">
        <f t="shared" si="28"/>
        <v>0</v>
      </c>
      <c r="E97" s="204">
        <v>0</v>
      </c>
      <c r="F97" s="234">
        <f>E97/F$83</f>
        <v>0</v>
      </c>
      <c r="G97" s="340">
        <v>1</v>
      </c>
      <c r="H97" s="202">
        <f>G97/H$83</f>
        <v>0.5</v>
      </c>
      <c r="I97" s="380">
        <v>1</v>
      </c>
      <c r="J97" s="202">
        <f>I97/J$83</f>
        <v>0.5</v>
      </c>
      <c r="K97" s="340">
        <v>1</v>
      </c>
      <c r="L97" s="202">
        <f t="shared" ref="L97:N104" si="31">K97/L$83</f>
        <v>1</v>
      </c>
      <c r="M97" s="340">
        <v>0</v>
      </c>
      <c r="N97" s="386">
        <f t="shared" si="31"/>
        <v>0</v>
      </c>
      <c r="O97" s="380">
        <v>0</v>
      </c>
      <c r="P97" s="386">
        <f>O97/P$83</f>
        <v>0</v>
      </c>
      <c r="Q97" s="380">
        <v>0</v>
      </c>
      <c r="R97" s="386">
        <v>0</v>
      </c>
      <c r="S97" s="380">
        <v>0</v>
      </c>
      <c r="T97" s="386">
        <f>S97/T$83</f>
        <v>0</v>
      </c>
      <c r="U97" s="380">
        <v>0</v>
      </c>
      <c r="V97" s="386">
        <f>U97/V$83</f>
        <v>0</v>
      </c>
      <c r="W97" s="380">
        <v>0</v>
      </c>
      <c r="X97" s="386">
        <f>W97/X$83</f>
        <v>0</v>
      </c>
      <c r="Y97" s="380">
        <v>0</v>
      </c>
      <c r="Z97" s="386">
        <f>Y97/Z$83</f>
        <v>0</v>
      </c>
      <c r="AA97" s="919"/>
      <c r="AB97" s="600">
        <f t="shared" ref="AB97:AB99" si="32">AVERAGE(W97,U97,S97,Q97,Y97)</f>
        <v>0</v>
      </c>
      <c r="AC97" s="775">
        <f t="shared" ref="AC97:AC99" si="33">AVERAGE(X97,V97,T97,R97,Z97)</f>
        <v>0</v>
      </c>
    </row>
    <row r="98" spans="1:31" ht="12" x14ac:dyDescent="0.2">
      <c r="B98" s="47" t="s">
        <v>83</v>
      </c>
      <c r="C98" s="117">
        <v>0</v>
      </c>
      <c r="D98" s="196">
        <f t="shared" si="28"/>
        <v>0</v>
      </c>
      <c r="E98" s="204">
        <v>0</v>
      </c>
      <c r="F98" s="234">
        <f>E98/F$83</f>
        <v>0</v>
      </c>
      <c r="G98" s="340">
        <v>0</v>
      </c>
      <c r="H98" s="202">
        <f>G98/H$83</f>
        <v>0</v>
      </c>
      <c r="I98" s="380">
        <v>0</v>
      </c>
      <c r="J98" s="202">
        <f>I98/J$83</f>
        <v>0</v>
      </c>
      <c r="K98" s="340">
        <v>0</v>
      </c>
      <c r="L98" s="202">
        <f t="shared" si="31"/>
        <v>0</v>
      </c>
      <c r="M98" s="340">
        <v>0</v>
      </c>
      <c r="N98" s="386">
        <f t="shared" si="31"/>
        <v>0</v>
      </c>
      <c r="O98" s="380">
        <v>0</v>
      </c>
      <c r="P98" s="386">
        <f>O98/P$83</f>
        <v>0</v>
      </c>
      <c r="Q98" s="380">
        <v>0</v>
      </c>
      <c r="R98" s="386">
        <v>0</v>
      </c>
      <c r="S98" s="380">
        <v>0</v>
      </c>
      <c r="T98" s="386">
        <f>S98/T$83</f>
        <v>0</v>
      </c>
      <c r="U98" s="380">
        <v>0</v>
      </c>
      <c r="V98" s="386">
        <f>U98/V$83</f>
        <v>0</v>
      </c>
      <c r="W98" s="380">
        <v>0</v>
      </c>
      <c r="X98" s="386">
        <f>W98/X$83</f>
        <v>0</v>
      </c>
      <c r="Y98" s="380">
        <v>0</v>
      </c>
      <c r="Z98" s="386">
        <f>Y98/Z$83</f>
        <v>0</v>
      </c>
      <c r="AA98" s="919"/>
      <c r="AB98" s="600">
        <f t="shared" si="32"/>
        <v>0</v>
      </c>
      <c r="AC98" s="775">
        <f t="shared" si="33"/>
        <v>0</v>
      </c>
      <c r="AE98" s="1" t="s">
        <v>26</v>
      </c>
    </row>
    <row r="99" spans="1:31" ht="12" x14ac:dyDescent="0.2">
      <c r="B99" s="47" t="s">
        <v>84</v>
      </c>
      <c r="C99" s="117">
        <v>1</v>
      </c>
      <c r="D99" s="196">
        <f t="shared" si="28"/>
        <v>1</v>
      </c>
      <c r="E99" s="204">
        <v>1</v>
      </c>
      <c r="F99" s="234">
        <f>E99/F$83</f>
        <v>1</v>
      </c>
      <c r="G99" s="340">
        <v>1</v>
      </c>
      <c r="H99" s="202">
        <f>G99/H$83</f>
        <v>0.5</v>
      </c>
      <c r="I99" s="380">
        <v>1</v>
      </c>
      <c r="J99" s="202">
        <f>I99/J$83</f>
        <v>0.5</v>
      </c>
      <c r="K99" s="340">
        <v>0</v>
      </c>
      <c r="L99" s="202">
        <f t="shared" si="31"/>
        <v>0</v>
      </c>
      <c r="M99" s="340">
        <v>1</v>
      </c>
      <c r="N99" s="386">
        <f t="shared" si="31"/>
        <v>1</v>
      </c>
      <c r="O99" s="380">
        <v>1</v>
      </c>
      <c r="P99" s="386">
        <f>O99/P$83</f>
        <v>1</v>
      </c>
      <c r="Q99" s="380">
        <v>0</v>
      </c>
      <c r="R99" s="386">
        <v>0</v>
      </c>
      <c r="S99" s="380">
        <f>2</f>
        <v>2</v>
      </c>
      <c r="T99" s="386">
        <f>S99/T$83</f>
        <v>1</v>
      </c>
      <c r="U99" s="380">
        <v>2</v>
      </c>
      <c r="V99" s="386">
        <f>U99/V$83</f>
        <v>1</v>
      </c>
      <c r="W99" s="380">
        <v>3</v>
      </c>
      <c r="X99" s="386">
        <f>W99/X$83</f>
        <v>1</v>
      </c>
      <c r="Y99" s="380">
        <v>3</v>
      </c>
      <c r="Z99" s="386">
        <f>Y99/Z$83</f>
        <v>1</v>
      </c>
      <c r="AA99" s="919"/>
      <c r="AB99" s="600">
        <f t="shared" si="32"/>
        <v>2</v>
      </c>
      <c r="AC99" s="775">
        <f t="shared" si="33"/>
        <v>0.8</v>
      </c>
    </row>
    <row r="100" spans="1:31" ht="12" x14ac:dyDescent="0.2">
      <c r="B100" s="887" t="s">
        <v>95</v>
      </c>
      <c r="C100" s="990"/>
      <c r="D100" s="196"/>
      <c r="E100" s="207"/>
      <c r="F100" s="234"/>
      <c r="G100" s="298"/>
      <c r="H100" s="202"/>
      <c r="I100" s="381"/>
      <c r="J100" s="202"/>
      <c r="K100" s="298"/>
      <c r="L100" s="202"/>
      <c r="M100" s="298"/>
      <c r="N100" s="386"/>
      <c r="O100" s="381"/>
      <c r="P100" s="386"/>
      <c r="Q100" s="381"/>
      <c r="R100" s="386"/>
      <c r="S100" s="381"/>
      <c r="T100" s="386"/>
      <c r="U100" s="381"/>
      <c r="V100" s="386"/>
      <c r="W100" s="381"/>
      <c r="X100" s="386"/>
      <c r="Y100" s="381"/>
      <c r="Z100" s="386"/>
      <c r="AA100" s="919"/>
      <c r="AB100" s="600"/>
      <c r="AC100" s="775"/>
    </row>
    <row r="101" spans="1:31" ht="12" x14ac:dyDescent="0.2">
      <c r="B101" s="47" t="s">
        <v>85</v>
      </c>
      <c r="C101" s="117">
        <v>1</v>
      </c>
      <c r="D101" s="196">
        <f t="shared" si="28"/>
        <v>1</v>
      </c>
      <c r="E101" s="204">
        <v>1</v>
      </c>
      <c r="F101" s="234">
        <f>E101/F$83</f>
        <v>1</v>
      </c>
      <c r="G101" s="340">
        <v>2</v>
      </c>
      <c r="H101" s="202">
        <f>G101/H$83</f>
        <v>1</v>
      </c>
      <c r="I101" s="380">
        <v>2</v>
      </c>
      <c r="J101" s="202">
        <f>I101/J$83</f>
        <v>1</v>
      </c>
      <c r="K101" s="340">
        <v>1</v>
      </c>
      <c r="L101" s="202">
        <f t="shared" si="31"/>
        <v>1</v>
      </c>
      <c r="M101" s="340">
        <v>0</v>
      </c>
      <c r="N101" s="386">
        <f t="shared" si="31"/>
        <v>0</v>
      </c>
      <c r="O101" s="380">
        <v>0</v>
      </c>
      <c r="P101" s="386">
        <f>O101/P$83</f>
        <v>0</v>
      </c>
      <c r="Q101" s="380">
        <v>0</v>
      </c>
      <c r="R101" s="386">
        <v>0</v>
      </c>
      <c r="S101" s="380">
        <v>0</v>
      </c>
      <c r="T101" s="386">
        <f>S101/T$83</f>
        <v>0</v>
      </c>
      <c r="U101" s="380">
        <v>0</v>
      </c>
      <c r="V101" s="386">
        <f>U101/V$83</f>
        <v>0</v>
      </c>
      <c r="W101" s="380">
        <v>0</v>
      </c>
      <c r="X101" s="386">
        <f>W101/X$83</f>
        <v>0</v>
      </c>
      <c r="Y101" s="380">
        <v>0</v>
      </c>
      <c r="Z101" s="386">
        <f>Y101/Z$83</f>
        <v>0</v>
      </c>
      <c r="AA101" s="919"/>
      <c r="AB101" s="600">
        <f t="shared" ref="AB101:AB104" si="34">AVERAGE(W101,U101,S101,Q101,Y101)</f>
        <v>0</v>
      </c>
      <c r="AC101" s="775">
        <f t="shared" ref="AC101:AC104" si="35">AVERAGE(X101,V101,T101,R101,Z101)</f>
        <v>0</v>
      </c>
    </row>
    <row r="102" spans="1:31" ht="12" x14ac:dyDescent="0.2">
      <c r="B102" s="47" t="s">
        <v>86</v>
      </c>
      <c r="C102" s="117">
        <v>0</v>
      </c>
      <c r="D102" s="196">
        <f t="shared" si="28"/>
        <v>0</v>
      </c>
      <c r="E102" s="204">
        <v>0</v>
      </c>
      <c r="F102" s="234">
        <f>E102/F$83</f>
        <v>0</v>
      </c>
      <c r="G102" s="340">
        <v>0</v>
      </c>
      <c r="H102" s="202">
        <f>G102/H$83</f>
        <v>0</v>
      </c>
      <c r="I102" s="380">
        <v>0</v>
      </c>
      <c r="J102" s="202">
        <f>I102/J$83</f>
        <v>0</v>
      </c>
      <c r="K102" s="340">
        <v>0</v>
      </c>
      <c r="L102" s="202">
        <f t="shared" si="31"/>
        <v>0</v>
      </c>
      <c r="M102" s="340">
        <v>1</v>
      </c>
      <c r="N102" s="386">
        <f t="shared" si="31"/>
        <v>1</v>
      </c>
      <c r="O102" s="380">
        <v>1</v>
      </c>
      <c r="P102" s="386">
        <f>O102/P$83</f>
        <v>1</v>
      </c>
      <c r="Q102" s="380">
        <v>0</v>
      </c>
      <c r="R102" s="386">
        <v>0</v>
      </c>
      <c r="S102" s="380">
        <f>2</f>
        <v>2</v>
      </c>
      <c r="T102" s="386">
        <f>S102/T$83</f>
        <v>1</v>
      </c>
      <c r="U102" s="380">
        <v>2</v>
      </c>
      <c r="V102" s="386">
        <f>U102/V$83</f>
        <v>1</v>
      </c>
      <c r="W102" s="380">
        <v>3</v>
      </c>
      <c r="X102" s="386">
        <f>W102/X$83</f>
        <v>1</v>
      </c>
      <c r="Y102" s="380">
        <v>2</v>
      </c>
      <c r="Z102" s="386">
        <f>Y102/Z$83</f>
        <v>0.66666666666666663</v>
      </c>
      <c r="AA102" s="919"/>
      <c r="AB102" s="600">
        <f t="shared" si="34"/>
        <v>1.8</v>
      </c>
      <c r="AC102" s="775">
        <f t="shared" si="35"/>
        <v>0.73333333333333328</v>
      </c>
    </row>
    <row r="103" spans="1:31" ht="12" x14ac:dyDescent="0.2">
      <c r="B103" s="47" t="s">
        <v>87</v>
      </c>
      <c r="C103" s="117">
        <v>0</v>
      </c>
      <c r="D103" s="196">
        <f t="shared" si="28"/>
        <v>0</v>
      </c>
      <c r="E103" s="204">
        <v>0</v>
      </c>
      <c r="F103" s="234">
        <f>E103/F$83</f>
        <v>0</v>
      </c>
      <c r="G103" s="340">
        <v>0</v>
      </c>
      <c r="H103" s="202">
        <f>G103/H$83</f>
        <v>0</v>
      </c>
      <c r="I103" s="380">
        <v>0</v>
      </c>
      <c r="J103" s="202">
        <f>I103/J$83</f>
        <v>0</v>
      </c>
      <c r="K103" s="340">
        <v>0</v>
      </c>
      <c r="L103" s="202">
        <f t="shared" si="31"/>
        <v>0</v>
      </c>
      <c r="M103" s="340">
        <v>0</v>
      </c>
      <c r="N103" s="386">
        <f t="shared" si="31"/>
        <v>0</v>
      </c>
      <c r="O103" s="380">
        <v>0</v>
      </c>
      <c r="P103" s="386">
        <f>O103/P$83</f>
        <v>0</v>
      </c>
      <c r="Q103" s="380">
        <v>0</v>
      </c>
      <c r="R103" s="386">
        <v>0</v>
      </c>
      <c r="S103" s="380">
        <v>0</v>
      </c>
      <c r="T103" s="386">
        <f>S103/T$83</f>
        <v>0</v>
      </c>
      <c r="U103" s="380">
        <v>0</v>
      </c>
      <c r="V103" s="386">
        <f>U103/V$83</f>
        <v>0</v>
      </c>
      <c r="W103" s="380">
        <v>0</v>
      </c>
      <c r="X103" s="386">
        <f>W103/X$83</f>
        <v>0</v>
      </c>
      <c r="Y103" s="380">
        <v>1</v>
      </c>
      <c r="Z103" s="386">
        <f>Y103/Z$83</f>
        <v>0.33333333333333331</v>
      </c>
      <c r="AA103" s="919"/>
      <c r="AB103" s="600">
        <f t="shared" si="34"/>
        <v>0.2</v>
      </c>
      <c r="AC103" s="775">
        <f t="shared" si="35"/>
        <v>6.6666666666666666E-2</v>
      </c>
    </row>
    <row r="104" spans="1:31" thickBot="1" x14ac:dyDescent="0.25">
      <c r="B104" s="616" t="s">
        <v>88</v>
      </c>
      <c r="C104" s="991">
        <v>0</v>
      </c>
      <c r="D104" s="201">
        <f t="shared" si="28"/>
        <v>0</v>
      </c>
      <c r="E104" s="208">
        <v>0</v>
      </c>
      <c r="F104" s="295">
        <f>E104/F$83</f>
        <v>0</v>
      </c>
      <c r="G104" s="341">
        <v>0</v>
      </c>
      <c r="H104" s="203">
        <f>G104/H$83</f>
        <v>0</v>
      </c>
      <c r="I104" s="382">
        <v>0</v>
      </c>
      <c r="J104" s="203">
        <f>I104/J$83</f>
        <v>0</v>
      </c>
      <c r="K104" s="341">
        <v>0</v>
      </c>
      <c r="L104" s="203">
        <f t="shared" si="31"/>
        <v>0</v>
      </c>
      <c r="M104" s="341">
        <v>0</v>
      </c>
      <c r="N104" s="409">
        <f t="shared" si="31"/>
        <v>0</v>
      </c>
      <c r="O104" s="382">
        <v>0</v>
      </c>
      <c r="P104" s="409">
        <f>O104/P$83</f>
        <v>0</v>
      </c>
      <c r="Q104" s="382">
        <v>0</v>
      </c>
      <c r="R104" s="409">
        <v>0</v>
      </c>
      <c r="S104" s="382">
        <v>0</v>
      </c>
      <c r="T104" s="409">
        <f>S104/T$83</f>
        <v>0</v>
      </c>
      <c r="U104" s="382">
        <v>0</v>
      </c>
      <c r="V104" s="409">
        <f>U104/V$83</f>
        <v>0</v>
      </c>
      <c r="W104" s="382">
        <v>0</v>
      </c>
      <c r="X104" s="409">
        <f>W104/X$83</f>
        <v>0</v>
      </c>
      <c r="Y104" s="382">
        <v>0</v>
      </c>
      <c r="Z104" s="409">
        <v>0</v>
      </c>
      <c r="AA104" s="919"/>
      <c r="AB104" s="604">
        <f t="shared" si="34"/>
        <v>0</v>
      </c>
      <c r="AC104" s="776">
        <f t="shared" si="35"/>
        <v>0</v>
      </c>
    </row>
    <row r="105" spans="1:31" ht="13.5" thickTop="1" x14ac:dyDescent="0.2">
      <c r="A105" s="583"/>
      <c r="B105" s="613" t="s">
        <v>115</v>
      </c>
      <c r="C105" s="58"/>
      <c r="D105" s="617"/>
      <c r="E105" s="119"/>
      <c r="F105" s="619"/>
      <c r="G105" s="582"/>
      <c r="H105" s="611"/>
      <c r="I105" s="582"/>
      <c r="J105" s="617"/>
      <c r="K105" s="582"/>
      <c r="L105" s="617"/>
      <c r="M105" s="582"/>
      <c r="N105" s="617"/>
      <c r="O105" s="582"/>
      <c r="P105" s="617"/>
      <c r="Q105" s="582"/>
      <c r="R105" s="617"/>
      <c r="S105" s="582"/>
      <c r="T105" s="617"/>
      <c r="U105" s="582"/>
      <c r="V105" s="617"/>
      <c r="W105" s="582"/>
      <c r="X105" s="617"/>
      <c r="Y105" s="582"/>
      <c r="Z105" s="617"/>
      <c r="AA105" s="919"/>
      <c r="AB105" s="609"/>
      <c r="AC105" s="610"/>
    </row>
    <row r="106" spans="1:31" ht="12" x14ac:dyDescent="0.2">
      <c r="A106" s="583"/>
      <c r="B106" s="614"/>
      <c r="C106" s="120" t="s">
        <v>89</v>
      </c>
      <c r="D106" s="618" t="s">
        <v>16</v>
      </c>
      <c r="E106" s="120" t="s">
        <v>89</v>
      </c>
      <c r="F106" s="618" t="s">
        <v>16</v>
      </c>
      <c r="G106" s="120" t="s">
        <v>89</v>
      </c>
      <c r="H106" s="618" t="s">
        <v>16</v>
      </c>
      <c r="I106" s="120" t="s">
        <v>89</v>
      </c>
      <c r="J106" s="618" t="s">
        <v>16</v>
      </c>
      <c r="K106" s="120" t="s">
        <v>89</v>
      </c>
      <c r="L106" s="618" t="s">
        <v>16</v>
      </c>
      <c r="M106" s="120" t="s">
        <v>89</v>
      </c>
      <c r="N106" s="618" t="s">
        <v>16</v>
      </c>
      <c r="O106" s="120" t="s">
        <v>89</v>
      </c>
      <c r="P106" s="618" t="s">
        <v>16</v>
      </c>
      <c r="Q106" s="272" t="s">
        <v>89</v>
      </c>
      <c r="R106" s="618" t="s">
        <v>16</v>
      </c>
      <c r="S106" s="272" t="s">
        <v>89</v>
      </c>
      <c r="T106" s="618" t="s">
        <v>16</v>
      </c>
      <c r="U106" s="272" t="s">
        <v>89</v>
      </c>
      <c r="V106" s="618" t="s">
        <v>16</v>
      </c>
      <c r="W106" s="272" t="s">
        <v>89</v>
      </c>
      <c r="X106" s="618" t="s">
        <v>16</v>
      </c>
      <c r="Y106" s="272" t="s">
        <v>89</v>
      </c>
      <c r="Z106" s="618" t="s">
        <v>16</v>
      </c>
      <c r="AA106" s="587"/>
      <c r="AB106" s="120" t="s">
        <v>89</v>
      </c>
      <c r="AC106" s="587" t="s">
        <v>16</v>
      </c>
    </row>
    <row r="107" spans="1:31" ht="12" x14ac:dyDescent="0.2">
      <c r="A107" s="583"/>
      <c r="B107" s="615" t="s">
        <v>116</v>
      </c>
      <c r="C107" s="58">
        <v>0</v>
      </c>
      <c r="D107" s="769">
        <v>0</v>
      </c>
      <c r="E107" s="119">
        <v>0</v>
      </c>
      <c r="F107" s="771">
        <v>0</v>
      </c>
      <c r="G107" s="272">
        <v>1</v>
      </c>
      <c r="H107" s="620">
        <v>0.5</v>
      </c>
      <c r="I107" s="272">
        <v>1</v>
      </c>
      <c r="J107" s="620">
        <v>0.3</v>
      </c>
      <c r="K107" s="272">
        <v>1</v>
      </c>
      <c r="L107" s="620">
        <v>0.3</v>
      </c>
      <c r="M107" s="120">
        <v>5</v>
      </c>
      <c r="N107" s="620">
        <v>1.7</v>
      </c>
      <c r="O107" s="120">
        <v>2</v>
      </c>
      <c r="P107" s="620">
        <v>1</v>
      </c>
      <c r="Q107" s="272">
        <v>1</v>
      </c>
      <c r="R107" s="620">
        <v>0.3</v>
      </c>
      <c r="S107" s="272">
        <v>1</v>
      </c>
      <c r="T107" s="620">
        <v>0.5</v>
      </c>
      <c r="U107" s="272">
        <v>1</v>
      </c>
      <c r="V107" s="620">
        <v>0.5</v>
      </c>
      <c r="W107" s="272">
        <v>2</v>
      </c>
      <c r="X107" s="620">
        <v>0.4</v>
      </c>
      <c r="Y107" s="272">
        <v>4</v>
      </c>
      <c r="Z107" s="620">
        <v>1.4</v>
      </c>
      <c r="AA107" s="588"/>
      <c r="AB107" s="786">
        <f t="shared" ref="AB107:AB109" si="36">AVERAGE(W107,U107,S107,Q107,Y107)</f>
        <v>1.8</v>
      </c>
      <c r="AC107" s="978">
        <f>AVERAGE(X107,V107,T107,R107,Z107)</f>
        <v>0.61999999999999988</v>
      </c>
    </row>
    <row r="108" spans="1:31" ht="12" x14ac:dyDescent="0.2">
      <c r="A108" s="583"/>
      <c r="B108" s="615" t="s">
        <v>117</v>
      </c>
      <c r="C108" s="58">
        <v>0</v>
      </c>
      <c r="D108" s="769">
        <v>0</v>
      </c>
      <c r="E108" s="119">
        <v>0</v>
      </c>
      <c r="F108" s="771">
        <v>0</v>
      </c>
      <c r="G108" s="272">
        <v>0</v>
      </c>
      <c r="H108" s="620">
        <v>0</v>
      </c>
      <c r="I108" s="272">
        <v>1</v>
      </c>
      <c r="J108" s="620">
        <v>0.2</v>
      </c>
      <c r="K108" s="272">
        <v>1</v>
      </c>
      <c r="L108" s="620">
        <v>0.2</v>
      </c>
      <c r="M108" s="120">
        <v>0</v>
      </c>
      <c r="N108" s="620">
        <v>0</v>
      </c>
      <c r="O108" s="120">
        <v>0</v>
      </c>
      <c r="P108" s="620">
        <v>0</v>
      </c>
      <c r="Q108" s="272">
        <v>0</v>
      </c>
      <c r="R108" s="620">
        <v>0</v>
      </c>
      <c r="S108" s="272">
        <v>0</v>
      </c>
      <c r="T108" s="620">
        <v>0</v>
      </c>
      <c r="U108" s="272">
        <v>0</v>
      </c>
      <c r="V108" s="620">
        <v>0</v>
      </c>
      <c r="W108" s="272">
        <v>2</v>
      </c>
      <c r="X108" s="620">
        <v>0.6</v>
      </c>
      <c r="Y108" s="272">
        <v>2</v>
      </c>
      <c r="Z108" s="620">
        <v>0.6</v>
      </c>
      <c r="AA108" s="588"/>
      <c r="AB108" s="786">
        <f t="shared" si="36"/>
        <v>0.8</v>
      </c>
      <c r="AC108" s="978">
        <f t="shared" ref="AC108:AC109" si="37">AVERAGE(X108,V108,T108,R108,Z108)</f>
        <v>0.24</v>
      </c>
    </row>
    <row r="109" spans="1:31" thickBot="1" x14ac:dyDescent="0.25">
      <c r="A109" s="583"/>
      <c r="B109" s="616" t="s">
        <v>147</v>
      </c>
      <c r="C109" s="585">
        <v>0</v>
      </c>
      <c r="D109" s="770">
        <v>0</v>
      </c>
      <c r="E109" s="586">
        <v>0</v>
      </c>
      <c r="F109" s="772">
        <v>0</v>
      </c>
      <c r="G109" s="789">
        <v>0</v>
      </c>
      <c r="H109" s="621">
        <v>0</v>
      </c>
      <c r="I109" s="789">
        <v>0</v>
      </c>
      <c r="J109" s="621">
        <v>0</v>
      </c>
      <c r="K109" s="789">
        <v>0</v>
      </c>
      <c r="L109" s="621">
        <v>0</v>
      </c>
      <c r="M109" s="584">
        <v>0</v>
      </c>
      <c r="N109" s="621">
        <v>0</v>
      </c>
      <c r="O109" s="584">
        <v>0</v>
      </c>
      <c r="P109" s="621">
        <v>0</v>
      </c>
      <c r="Q109" s="789">
        <v>0</v>
      </c>
      <c r="R109" s="621">
        <v>0</v>
      </c>
      <c r="S109" s="789">
        <v>0</v>
      </c>
      <c r="T109" s="621">
        <v>0</v>
      </c>
      <c r="U109" s="789">
        <v>0</v>
      </c>
      <c r="V109" s="621">
        <v>0</v>
      </c>
      <c r="W109" s="789">
        <v>0</v>
      </c>
      <c r="X109" s="621">
        <v>0</v>
      </c>
      <c r="Y109" s="789">
        <v>0</v>
      </c>
      <c r="Z109" s="621">
        <v>0</v>
      </c>
      <c r="AA109" s="588"/>
      <c r="AB109" s="790">
        <f t="shared" si="36"/>
        <v>0</v>
      </c>
      <c r="AC109" s="979">
        <f t="shared" si="37"/>
        <v>0</v>
      </c>
    </row>
    <row r="110" spans="1:31" customFormat="1" ht="17.25" thickTop="1" thickBot="1" x14ac:dyDescent="0.3">
      <c r="A110" s="626"/>
      <c r="B110" s="628"/>
      <c r="C110" s="1141" t="s">
        <v>41</v>
      </c>
      <c r="D110" s="1142"/>
      <c r="E110" s="1141" t="s">
        <v>42</v>
      </c>
      <c r="F110" s="1142"/>
      <c r="G110" s="1145" t="s">
        <v>132</v>
      </c>
      <c r="H110" s="1146"/>
      <c r="I110" s="1145" t="s">
        <v>133</v>
      </c>
      <c r="J110" s="1146"/>
      <c r="K110" s="1145" t="s">
        <v>134</v>
      </c>
      <c r="L110" s="1146"/>
      <c r="M110" s="1149" t="s">
        <v>135</v>
      </c>
      <c r="N110" s="1136"/>
      <c r="O110" s="1135" t="s">
        <v>171</v>
      </c>
      <c r="P110" s="1136"/>
      <c r="Q110" s="1135" t="s">
        <v>170</v>
      </c>
      <c r="R110" s="1136"/>
      <c r="S110" s="1135" t="s">
        <v>177</v>
      </c>
      <c r="T110" s="1136"/>
      <c r="U110" s="1135" t="s">
        <v>180</v>
      </c>
      <c r="V110" s="1136"/>
      <c r="W110" s="1135" t="s">
        <v>184</v>
      </c>
      <c r="X110" s="1136"/>
      <c r="Y110" s="1135" t="s">
        <v>188</v>
      </c>
      <c r="Z110" s="1136"/>
      <c r="AA110" s="940"/>
      <c r="AB110" s="1147"/>
      <c r="AC110" s="1148"/>
      <c r="AD110" s="59"/>
      <c r="AE110" s="1"/>
    </row>
    <row r="111" spans="1:31" customFormat="1" x14ac:dyDescent="0.2">
      <c r="A111" s="1"/>
      <c r="B111" s="627" t="s">
        <v>143</v>
      </c>
      <c r="C111" s="941"/>
      <c r="D111" s="939"/>
      <c r="E111" s="942"/>
      <c r="F111" s="943"/>
      <c r="G111" s="944"/>
      <c r="H111" s="945"/>
      <c r="I111" s="987"/>
      <c r="J111" s="988"/>
      <c r="K111" s="749"/>
      <c r="L111" s="946"/>
      <c r="M111" s="749"/>
      <c r="N111" s="750"/>
      <c r="O111" s="947"/>
      <c r="P111" s="948"/>
      <c r="Q111" s="1064"/>
      <c r="R111" s="1065"/>
      <c r="S111" s="1064"/>
      <c r="T111" s="1065"/>
      <c r="U111" s="947"/>
      <c r="V111" s="953"/>
      <c r="W111" s="1064"/>
      <c r="X111" s="1065"/>
      <c r="Y111" s="1064"/>
      <c r="Z111" s="1065"/>
      <c r="AA111" s="949"/>
      <c r="AB111" s="949"/>
      <c r="AC111" s="949"/>
      <c r="AD111" s="1"/>
      <c r="AE111" s="1"/>
    </row>
    <row r="112" spans="1:31" customFormat="1" x14ac:dyDescent="0.2">
      <c r="A112" s="583"/>
      <c r="B112" s="651" t="s">
        <v>122</v>
      </c>
      <c r="C112" s="1137">
        <v>6.85</v>
      </c>
      <c r="D112" s="1138"/>
      <c r="E112" s="747"/>
      <c r="F112" s="748"/>
      <c r="G112" s="749"/>
      <c r="H112" s="750"/>
      <c r="I112" s="1137">
        <v>1</v>
      </c>
      <c r="J112" s="1138"/>
      <c r="K112" s="950"/>
      <c r="L112" s="951"/>
      <c r="M112" s="950"/>
      <c r="N112" s="750"/>
      <c r="O112" s="952"/>
      <c r="P112" s="953">
        <v>3</v>
      </c>
      <c r="Q112" s="1066"/>
      <c r="R112" s="1065"/>
      <c r="S112" s="1066"/>
      <c r="T112" s="1065"/>
      <c r="U112" s="959"/>
      <c r="V112" s="953">
        <v>2.5</v>
      </c>
      <c r="W112" s="1066"/>
      <c r="X112" s="1065"/>
      <c r="Y112" s="1066"/>
      <c r="Z112" s="1065"/>
      <c r="AA112" s="949"/>
      <c r="AB112" s="949"/>
      <c r="AC112" s="949"/>
      <c r="AD112" s="1"/>
      <c r="AE112" s="1"/>
    </row>
    <row r="113" spans="1:31" customFormat="1" x14ac:dyDescent="0.2">
      <c r="A113" s="583"/>
      <c r="B113" s="652" t="s">
        <v>123</v>
      </c>
      <c r="C113" s="1137"/>
      <c r="D113" s="1138"/>
      <c r="E113" s="747"/>
      <c r="F113" s="748"/>
      <c r="G113" s="749"/>
      <c r="H113" s="750"/>
      <c r="I113" s="1137"/>
      <c r="J113" s="1138"/>
      <c r="K113" s="950"/>
      <c r="L113" s="951"/>
      <c r="M113" s="950"/>
      <c r="N113" s="750"/>
      <c r="O113" s="952"/>
      <c r="P113" s="953"/>
      <c r="Q113" s="1066"/>
      <c r="R113" s="1065"/>
      <c r="S113" s="1066"/>
      <c r="T113" s="1065"/>
      <c r="U113" s="959"/>
      <c r="V113" s="953"/>
      <c r="W113" s="1066"/>
      <c r="X113" s="1065"/>
      <c r="Y113" s="1066"/>
      <c r="Z113" s="1065"/>
      <c r="AA113" s="949"/>
      <c r="AB113" s="949"/>
      <c r="AC113" s="949" t="s">
        <v>26</v>
      </c>
      <c r="AD113" s="1"/>
      <c r="AE113" s="1"/>
    </row>
    <row r="114" spans="1:31" customFormat="1" x14ac:dyDescent="0.2">
      <c r="A114" s="583"/>
      <c r="B114" s="652" t="s">
        <v>124</v>
      </c>
      <c r="C114" s="1137">
        <v>7.65</v>
      </c>
      <c r="D114" s="1138"/>
      <c r="E114" s="747"/>
      <c r="F114" s="748"/>
      <c r="G114" s="749"/>
      <c r="H114" s="750"/>
      <c r="I114" s="1137">
        <v>0</v>
      </c>
      <c r="J114" s="1138"/>
      <c r="K114" s="950"/>
      <c r="L114" s="951"/>
      <c r="M114" s="950"/>
      <c r="N114" s="750"/>
      <c r="O114" s="952"/>
      <c r="P114" s="953">
        <v>0</v>
      </c>
      <c r="Q114" s="1066"/>
      <c r="R114" s="1065"/>
      <c r="S114" s="1066"/>
      <c r="T114" s="1065"/>
      <c r="U114" s="959"/>
      <c r="V114" s="953">
        <v>0</v>
      </c>
      <c r="W114" s="1066"/>
      <c r="X114" s="1065"/>
      <c r="Y114" s="1066"/>
      <c r="Z114" s="1065"/>
      <c r="AA114" s="949"/>
      <c r="AB114" s="949"/>
      <c r="AC114" s="949"/>
      <c r="AD114" s="1"/>
      <c r="AE114" s="1"/>
    </row>
    <row r="115" spans="1:31" customFormat="1" x14ac:dyDescent="0.2">
      <c r="A115" s="583"/>
      <c r="B115" s="651" t="s">
        <v>125</v>
      </c>
      <c r="C115" s="1137">
        <v>0</v>
      </c>
      <c r="D115" s="1138"/>
      <c r="E115" s="747"/>
      <c r="F115" s="748"/>
      <c r="G115" s="749"/>
      <c r="H115" s="750"/>
      <c r="I115" s="1137">
        <v>0</v>
      </c>
      <c r="J115" s="1138"/>
      <c r="K115" s="950"/>
      <c r="L115" s="951"/>
      <c r="M115" s="950"/>
      <c r="N115" s="750"/>
      <c r="O115" s="952"/>
      <c r="P115" s="953">
        <v>0</v>
      </c>
      <c r="Q115" s="1066"/>
      <c r="R115" s="1065"/>
      <c r="S115" s="1066"/>
      <c r="T115" s="1065"/>
      <c r="U115" s="959"/>
      <c r="V115" s="953">
        <v>0</v>
      </c>
      <c r="W115" s="1066"/>
      <c r="X115" s="1065"/>
      <c r="Y115" s="1066"/>
      <c r="Z115" s="1065"/>
      <c r="AA115" s="949"/>
      <c r="AB115" s="949"/>
      <c r="AC115" s="949"/>
      <c r="AD115" s="1"/>
      <c r="AE115" s="1"/>
    </row>
    <row r="116" spans="1:31" customFormat="1" x14ac:dyDescent="0.2">
      <c r="A116" s="583"/>
      <c r="B116" s="653" t="s">
        <v>126</v>
      </c>
      <c r="C116" s="1137">
        <v>1.1000000000000001</v>
      </c>
      <c r="D116" s="1138"/>
      <c r="E116" s="747"/>
      <c r="F116" s="748"/>
      <c r="G116" s="749"/>
      <c r="H116" s="750"/>
      <c r="I116" s="1137">
        <v>0</v>
      </c>
      <c r="J116" s="1138"/>
      <c r="K116" s="950"/>
      <c r="L116" s="951"/>
      <c r="M116" s="950"/>
      <c r="N116" s="750"/>
      <c r="O116" s="952"/>
      <c r="P116" s="953">
        <v>3</v>
      </c>
      <c r="Q116" s="1066"/>
      <c r="R116" s="1065"/>
      <c r="S116" s="1066"/>
      <c r="T116" s="1065"/>
      <c r="U116" s="959"/>
      <c r="V116" s="953">
        <f>4.85+1</f>
        <v>5.85</v>
      </c>
      <c r="W116" s="1066"/>
      <c r="X116" s="1065"/>
      <c r="Y116" s="1066"/>
      <c r="Z116" s="1065"/>
      <c r="AA116" s="949"/>
      <c r="AB116" s="949"/>
      <c r="AC116" s="949"/>
      <c r="AD116" s="1"/>
      <c r="AE116" s="1"/>
    </row>
    <row r="117" spans="1:31" customFormat="1" x14ac:dyDescent="0.2">
      <c r="A117" s="583"/>
      <c r="B117" s="653" t="s">
        <v>127</v>
      </c>
      <c r="C117" s="1137">
        <f>SUM(C112:D116)</f>
        <v>15.6</v>
      </c>
      <c r="D117" s="1138"/>
      <c r="E117" s="747"/>
      <c r="F117" s="748"/>
      <c r="G117" s="749"/>
      <c r="H117" s="750"/>
      <c r="I117" s="1137">
        <v>1</v>
      </c>
      <c r="J117" s="1138"/>
      <c r="K117" s="950"/>
      <c r="L117" s="951"/>
      <c r="M117" s="950"/>
      <c r="N117" s="750"/>
      <c r="O117" s="952"/>
      <c r="P117" s="953">
        <f>SUM(P112:P116)</f>
        <v>6</v>
      </c>
      <c r="Q117" s="1066"/>
      <c r="R117" s="1065"/>
      <c r="S117" s="1066"/>
      <c r="T117" s="1065"/>
      <c r="U117" s="959"/>
      <c r="V117" s="953">
        <f>SUM(V112:V116)</f>
        <v>8.35</v>
      </c>
      <c r="W117" s="1066"/>
      <c r="X117" s="1065"/>
      <c r="Y117" s="1066"/>
      <c r="Z117" s="1065"/>
      <c r="AA117" s="949"/>
      <c r="AB117" s="949"/>
      <c r="AC117" s="949"/>
      <c r="AD117" s="1"/>
      <c r="AE117" s="1"/>
    </row>
    <row r="118" spans="1:31" customFormat="1" ht="13.5" thickBot="1" x14ac:dyDescent="0.25">
      <c r="A118" s="583"/>
      <c r="B118" s="654" t="s">
        <v>137</v>
      </c>
      <c r="C118" s="1137"/>
      <c r="D118" s="1138"/>
      <c r="E118" s="747"/>
      <c r="F118" s="748"/>
      <c r="G118" s="749"/>
      <c r="H118" s="750"/>
      <c r="I118" s="1137"/>
      <c r="J118" s="1138"/>
      <c r="K118" s="950"/>
      <c r="L118" s="951"/>
      <c r="M118" s="950"/>
      <c r="N118" s="750"/>
      <c r="O118" s="952"/>
      <c r="P118" s="918"/>
      <c r="Q118" s="1066"/>
      <c r="R118" s="1065"/>
      <c r="S118" s="1066"/>
      <c r="T118" s="1065"/>
      <c r="U118" s="959"/>
      <c r="V118" s="918"/>
      <c r="W118" s="1066"/>
      <c r="X118" s="1065"/>
      <c r="Y118" s="1066"/>
      <c r="Z118" s="1065"/>
      <c r="AA118" s="949"/>
      <c r="AB118" s="949"/>
      <c r="AC118" s="949"/>
      <c r="AD118" s="1"/>
      <c r="AE118" s="1"/>
    </row>
    <row r="119" spans="1:31" customFormat="1" x14ac:dyDescent="0.2">
      <c r="A119" s="583"/>
      <c r="B119" s="651" t="s">
        <v>128</v>
      </c>
      <c r="C119" s="1137">
        <v>3052</v>
      </c>
      <c r="D119" s="1138"/>
      <c r="E119" s="747"/>
      <c r="F119" s="748"/>
      <c r="G119" s="749"/>
      <c r="H119" s="750"/>
      <c r="I119" s="1139">
        <v>72</v>
      </c>
      <c r="J119" s="1140"/>
      <c r="K119" s="954"/>
      <c r="L119" s="955"/>
      <c r="M119" s="954"/>
      <c r="N119" s="956"/>
      <c r="O119" s="957"/>
      <c r="P119" s="958">
        <v>104</v>
      </c>
      <c r="Q119" s="1067"/>
      <c r="R119" s="1068"/>
      <c r="S119" s="1067"/>
      <c r="T119" s="1068"/>
      <c r="U119" s="1097"/>
      <c r="V119" s="958">
        <v>79</v>
      </c>
      <c r="W119" s="1067"/>
      <c r="X119" s="1068"/>
      <c r="Y119" s="1067"/>
      <c r="Z119" s="1068"/>
      <c r="AA119" s="731"/>
      <c r="AB119" s="731"/>
      <c r="AC119" s="738"/>
      <c r="AD119" s="1"/>
      <c r="AE119" s="1"/>
    </row>
    <row r="120" spans="1:31" customFormat="1" x14ac:dyDescent="0.2">
      <c r="A120" s="583"/>
      <c r="B120" s="653" t="s">
        <v>129</v>
      </c>
      <c r="C120" s="1137">
        <v>1586</v>
      </c>
      <c r="D120" s="1138"/>
      <c r="E120" s="747"/>
      <c r="F120" s="748"/>
      <c r="G120" s="749"/>
      <c r="H120" s="750"/>
      <c r="I120" s="1139">
        <v>0</v>
      </c>
      <c r="J120" s="1140"/>
      <c r="K120" s="954"/>
      <c r="L120" s="955"/>
      <c r="M120" s="954"/>
      <c r="N120" s="956"/>
      <c r="O120" s="957"/>
      <c r="P120" s="958">
        <v>0</v>
      </c>
      <c r="Q120" s="1067"/>
      <c r="R120" s="1068"/>
      <c r="S120" s="1067"/>
      <c r="T120" s="1068"/>
      <c r="U120" s="1097"/>
      <c r="V120" s="958">
        <v>0</v>
      </c>
      <c r="W120" s="1067"/>
      <c r="X120" s="1068"/>
      <c r="Y120" s="1067"/>
      <c r="Z120" s="1068"/>
      <c r="AA120" s="731"/>
      <c r="AB120" s="731"/>
      <c r="AC120" s="738"/>
      <c r="AD120" s="1"/>
      <c r="AE120" s="1"/>
    </row>
    <row r="121" spans="1:31" customFormat="1" x14ac:dyDescent="0.2">
      <c r="A121" s="583"/>
      <c r="B121" s="653" t="s">
        <v>130</v>
      </c>
      <c r="C121" s="1137">
        <v>216</v>
      </c>
      <c r="D121" s="1138"/>
      <c r="E121" s="747"/>
      <c r="F121" s="748"/>
      <c r="G121" s="749"/>
      <c r="H121" s="750"/>
      <c r="I121" s="1139">
        <v>0</v>
      </c>
      <c r="J121" s="1140"/>
      <c r="K121" s="954"/>
      <c r="L121" s="955"/>
      <c r="M121" s="954"/>
      <c r="N121" s="956"/>
      <c r="O121" s="957"/>
      <c r="P121" s="958">
        <v>29</v>
      </c>
      <c r="Q121" s="1067"/>
      <c r="R121" s="1068"/>
      <c r="S121" s="1067"/>
      <c r="T121" s="1068"/>
      <c r="U121" s="1097"/>
      <c r="V121" s="958">
        <f>1163+300</f>
        <v>1463</v>
      </c>
      <c r="W121" s="1067"/>
      <c r="X121" s="1068"/>
      <c r="Y121" s="1067"/>
      <c r="Z121" s="1068"/>
      <c r="AA121" s="731"/>
      <c r="AB121" s="731"/>
      <c r="AC121" s="738"/>
      <c r="AD121" s="1"/>
      <c r="AE121" s="1"/>
    </row>
    <row r="122" spans="1:31" customFormat="1" x14ac:dyDescent="0.2">
      <c r="A122" s="583"/>
      <c r="B122" s="653" t="s">
        <v>142</v>
      </c>
      <c r="C122" s="1137">
        <f>SUM(C119:D121)</f>
        <v>4854</v>
      </c>
      <c r="D122" s="1138"/>
      <c r="E122" s="747"/>
      <c r="F122" s="748"/>
      <c r="G122" s="749"/>
      <c r="H122" s="750"/>
      <c r="I122" s="1139">
        <v>72</v>
      </c>
      <c r="J122" s="1140"/>
      <c r="K122" s="954"/>
      <c r="L122" s="955"/>
      <c r="M122" s="954"/>
      <c r="N122" s="956"/>
      <c r="O122" s="957"/>
      <c r="P122" s="958">
        <f>SUM(P119:P121)</f>
        <v>133</v>
      </c>
      <c r="Q122" s="1067"/>
      <c r="R122" s="1068"/>
      <c r="S122" s="1067"/>
      <c r="T122" s="1068"/>
      <c r="U122" s="1097"/>
      <c r="V122" s="958">
        <f>SUM(V119:V121)</f>
        <v>1542</v>
      </c>
      <c r="W122" s="1067"/>
      <c r="X122" s="1068"/>
      <c r="Y122" s="1067"/>
      <c r="Z122" s="1068"/>
      <c r="AA122" s="731"/>
      <c r="AB122" s="731"/>
      <c r="AC122" s="738"/>
      <c r="AD122" s="1"/>
      <c r="AE122" s="1"/>
    </row>
    <row r="123" spans="1:31" customFormat="1" ht="13.5" thickBot="1" x14ac:dyDescent="0.25">
      <c r="A123" s="583"/>
      <c r="B123" s="654" t="s">
        <v>138</v>
      </c>
      <c r="C123" s="1137"/>
      <c r="D123" s="1138"/>
      <c r="E123" s="747"/>
      <c r="F123" s="748"/>
      <c r="G123" s="749"/>
      <c r="H123" s="750"/>
      <c r="I123" s="1137"/>
      <c r="J123" s="1138"/>
      <c r="K123" s="950"/>
      <c r="L123" s="951"/>
      <c r="M123" s="950"/>
      <c r="N123" s="750"/>
      <c r="O123" s="959"/>
      <c r="P123" s="953"/>
      <c r="Q123" s="1066"/>
      <c r="R123" s="1065"/>
      <c r="S123" s="1066"/>
      <c r="T123" s="1065"/>
      <c r="U123" s="959"/>
      <c r="V123" s="953"/>
      <c r="W123" s="1066"/>
      <c r="X123" s="1065"/>
      <c r="Y123" s="1066"/>
      <c r="Z123" s="1065"/>
      <c r="AA123" s="949"/>
      <c r="AB123" s="949"/>
      <c r="AC123" s="949"/>
      <c r="AD123" s="59"/>
      <c r="AE123" s="59"/>
    </row>
    <row r="124" spans="1:31" customFormat="1" x14ac:dyDescent="0.2">
      <c r="A124" s="583"/>
      <c r="B124" s="651" t="s">
        <v>139</v>
      </c>
      <c r="C124" s="1137">
        <f>C119/C112</f>
        <v>445.54744525547449</v>
      </c>
      <c r="D124" s="1138"/>
      <c r="E124" s="747"/>
      <c r="F124" s="748"/>
      <c r="G124" s="749"/>
      <c r="H124" s="750"/>
      <c r="I124" s="1137">
        <v>72</v>
      </c>
      <c r="J124" s="1138"/>
      <c r="K124" s="950"/>
      <c r="L124" s="951"/>
      <c r="M124" s="950"/>
      <c r="N124" s="750"/>
      <c r="O124" s="959"/>
      <c r="P124" s="960">
        <f>P119/P112</f>
        <v>34.666666666666664</v>
      </c>
      <c r="Q124" s="1066"/>
      <c r="R124" s="1065"/>
      <c r="S124" s="1066"/>
      <c r="T124" s="1065"/>
      <c r="U124" s="959"/>
      <c r="V124" s="960">
        <f>V119/V112</f>
        <v>31.6</v>
      </c>
      <c r="W124" s="1066"/>
      <c r="X124" s="1065"/>
      <c r="Y124" s="1066"/>
      <c r="Z124" s="1065"/>
      <c r="AA124" s="949"/>
      <c r="AB124" s="949"/>
      <c r="AC124" s="949"/>
      <c r="AD124" s="136"/>
      <c r="AE124" s="136"/>
    </row>
    <row r="125" spans="1:31" customFormat="1" x14ac:dyDescent="0.2">
      <c r="A125" s="583"/>
      <c r="B125" s="653" t="s">
        <v>140</v>
      </c>
      <c r="C125" s="1137">
        <f>C120/C114</f>
        <v>207.3202614379085</v>
      </c>
      <c r="D125" s="1138"/>
      <c r="E125" s="747"/>
      <c r="F125" s="748"/>
      <c r="G125" s="749"/>
      <c r="H125" s="750"/>
      <c r="I125" s="1137">
        <v>0</v>
      </c>
      <c r="J125" s="1138"/>
      <c r="K125" s="950"/>
      <c r="L125" s="951"/>
      <c r="M125" s="950"/>
      <c r="N125" s="750"/>
      <c r="O125" s="959"/>
      <c r="P125" s="960">
        <v>0</v>
      </c>
      <c r="Q125" s="1066"/>
      <c r="R125" s="1065"/>
      <c r="S125" s="1066"/>
      <c r="T125" s="1065"/>
      <c r="U125" s="959"/>
      <c r="V125" s="960">
        <v>0</v>
      </c>
      <c r="W125" s="1066"/>
      <c r="X125" s="1065"/>
      <c r="Y125" s="1066"/>
      <c r="Z125" s="1065"/>
      <c r="AA125" s="949"/>
      <c r="AB125" s="949"/>
      <c r="AC125" s="949"/>
      <c r="AD125" s="136"/>
      <c r="AE125" s="136"/>
    </row>
    <row r="126" spans="1:31" customFormat="1" x14ac:dyDescent="0.2">
      <c r="A126" s="583"/>
      <c r="B126" s="653" t="s">
        <v>141</v>
      </c>
      <c r="C126" s="1137">
        <f>C121/C116</f>
        <v>196.36363636363635</v>
      </c>
      <c r="D126" s="1138"/>
      <c r="E126" s="747"/>
      <c r="F126" s="748"/>
      <c r="G126" s="749"/>
      <c r="H126" s="750"/>
      <c r="I126" s="1137">
        <v>0</v>
      </c>
      <c r="J126" s="1138"/>
      <c r="K126" s="950"/>
      <c r="L126" s="951"/>
      <c r="M126" s="950"/>
      <c r="N126" s="750"/>
      <c r="O126" s="959"/>
      <c r="P126" s="960">
        <f>P121/P116</f>
        <v>9.6666666666666661</v>
      </c>
      <c r="Q126" s="1066"/>
      <c r="R126" s="1065"/>
      <c r="S126" s="1066"/>
      <c r="T126" s="1065"/>
      <c r="U126" s="959"/>
      <c r="V126" s="960">
        <f>V121/V116</f>
        <v>250.08547008547009</v>
      </c>
      <c r="W126" s="1066"/>
      <c r="X126" s="1065"/>
      <c r="Y126" s="1066"/>
      <c r="Z126" s="1065"/>
      <c r="AA126" s="949"/>
      <c r="AB126" s="949"/>
      <c r="AC126" s="949"/>
      <c r="AD126" s="136"/>
      <c r="AE126" s="136"/>
    </row>
    <row r="127" spans="1:31" customFormat="1" ht="13.5" thickBot="1" x14ac:dyDescent="0.25">
      <c r="A127" s="583"/>
      <c r="B127" s="656" t="s">
        <v>131</v>
      </c>
      <c r="C127" s="1143">
        <f>C122/C117</f>
        <v>311.15384615384619</v>
      </c>
      <c r="D127" s="1144"/>
      <c r="E127" s="751"/>
      <c r="F127" s="752"/>
      <c r="G127" s="753"/>
      <c r="H127" s="754"/>
      <c r="I127" s="1143">
        <v>72</v>
      </c>
      <c r="J127" s="1144"/>
      <c r="K127" s="753"/>
      <c r="L127" s="754"/>
      <c r="M127" s="753"/>
      <c r="N127" s="754"/>
      <c r="O127" s="961"/>
      <c r="P127" s="962">
        <f>P122/P117</f>
        <v>22.166666666666668</v>
      </c>
      <c r="Q127" s="1069"/>
      <c r="R127" s="1070"/>
      <c r="S127" s="1069"/>
      <c r="T127" s="1070"/>
      <c r="U127" s="1098"/>
      <c r="V127" s="962">
        <f>V122/V117</f>
        <v>184.67065868263475</v>
      </c>
      <c r="W127" s="1069"/>
      <c r="X127" s="1070"/>
      <c r="Y127" s="1069"/>
      <c r="Z127" s="1070"/>
      <c r="AA127" s="949"/>
      <c r="AB127" s="949"/>
      <c r="AC127" s="949"/>
      <c r="AD127" s="136"/>
      <c r="AE127" s="136"/>
    </row>
    <row r="128" spans="1:31" ht="12" customHeight="1" thickTop="1" x14ac:dyDescent="0.2">
      <c r="B128" s="1" t="str">
        <f>'bus sum'!B117</f>
        <v>*Note: For the 2009 collection cycle and later, Instructional FTE was defined according to the national Delaware Study of Instructional Costs and Productivity</v>
      </c>
      <c r="K128" s="245"/>
      <c r="L128" s="245"/>
      <c r="M128" s="245"/>
      <c r="N128" s="245"/>
      <c r="O128" s="59"/>
      <c r="P128" s="253"/>
      <c r="Q128" s="59"/>
      <c r="R128" s="253"/>
      <c r="S128" s="59"/>
      <c r="T128" s="253"/>
      <c r="U128" s="59"/>
      <c r="V128" s="253"/>
      <c r="W128" s="59"/>
      <c r="X128" s="253"/>
      <c r="Y128" s="59"/>
      <c r="Z128" s="253"/>
      <c r="AA128" s="1"/>
    </row>
    <row r="129" spans="3:27" ht="12" x14ac:dyDescent="0.2">
      <c r="C129" s="1"/>
      <c r="D129" s="1"/>
      <c r="E129" s="1"/>
      <c r="F129" s="1"/>
      <c r="G129" s="1"/>
      <c r="H129" s="1"/>
      <c r="I129" s="1"/>
      <c r="J129" s="1"/>
      <c r="AA129" s="1"/>
    </row>
    <row r="130" spans="3:27" ht="12" x14ac:dyDescent="0.2">
      <c r="C130" s="1"/>
      <c r="D130" s="1"/>
      <c r="E130" s="1"/>
      <c r="F130" s="1"/>
      <c r="G130" s="1"/>
      <c r="H130" s="1"/>
      <c r="I130" s="1"/>
      <c r="J130" s="1"/>
      <c r="AA130" s="1"/>
    </row>
    <row r="131" spans="3:27" ht="12" x14ac:dyDescent="0.2">
      <c r="C131" s="1"/>
      <c r="D131" s="1"/>
      <c r="E131" s="1"/>
      <c r="F131" s="1"/>
      <c r="G131" s="1"/>
      <c r="H131" s="1"/>
      <c r="I131" s="1"/>
      <c r="J131" s="1"/>
      <c r="AA131" s="1"/>
    </row>
    <row r="132" spans="3:27" ht="12" x14ac:dyDescent="0.2">
      <c r="C132" s="1"/>
      <c r="D132" s="1"/>
      <c r="E132" s="1"/>
      <c r="F132" s="1"/>
      <c r="G132" s="1"/>
      <c r="H132" s="1"/>
      <c r="I132" s="1"/>
      <c r="J132" s="1"/>
      <c r="AA132" s="1"/>
    </row>
    <row r="133" spans="3:27" ht="12" x14ac:dyDescent="0.2">
      <c r="C133" s="1"/>
      <c r="D133" s="1"/>
      <c r="E133" s="1"/>
      <c r="F133" s="1"/>
      <c r="G133" s="1"/>
      <c r="H133" s="1"/>
      <c r="I133" s="1"/>
      <c r="J133" s="1"/>
      <c r="AA133" s="1"/>
    </row>
    <row r="134" spans="3:27" ht="12" x14ac:dyDescent="0.2">
      <c r="C134" s="1"/>
      <c r="D134" s="1"/>
      <c r="E134" s="1"/>
      <c r="F134" s="1"/>
      <c r="G134" s="1"/>
      <c r="H134" s="1"/>
      <c r="I134" s="1"/>
      <c r="J134" s="1"/>
      <c r="AA134" s="1"/>
    </row>
    <row r="135" spans="3:27" ht="12" x14ac:dyDescent="0.2">
      <c r="C135" s="1"/>
      <c r="D135" s="1"/>
      <c r="E135" s="1"/>
      <c r="F135" s="1"/>
      <c r="G135" s="1"/>
      <c r="H135" s="1"/>
      <c r="I135" s="1"/>
      <c r="J135" s="1"/>
      <c r="AA135" s="1"/>
    </row>
    <row r="136" spans="3:27" ht="12" x14ac:dyDescent="0.2">
      <c r="C136" s="1"/>
      <c r="D136" s="1"/>
      <c r="E136" s="1"/>
      <c r="F136" s="1"/>
      <c r="G136" s="1"/>
      <c r="H136" s="1"/>
      <c r="I136" s="1"/>
      <c r="J136" s="1"/>
      <c r="AA136" s="1"/>
    </row>
    <row r="137" spans="3:27" ht="12" x14ac:dyDescent="0.2">
      <c r="C137" s="1"/>
      <c r="D137" s="1"/>
      <c r="E137" s="1"/>
      <c r="F137" s="1"/>
      <c r="G137" s="1"/>
      <c r="H137" s="1"/>
      <c r="I137" s="1"/>
      <c r="J137" s="1"/>
      <c r="AA137" s="1"/>
    </row>
    <row r="138" spans="3:27" ht="12" x14ac:dyDescent="0.2">
      <c r="C138" s="1"/>
      <c r="D138" s="1"/>
      <c r="E138" s="1"/>
      <c r="F138" s="1"/>
      <c r="G138" s="1"/>
      <c r="H138" s="1"/>
      <c r="I138" s="1"/>
      <c r="J138" s="1"/>
      <c r="AA138" s="1"/>
    </row>
    <row r="139" spans="3:27" ht="13.5" customHeight="1" x14ac:dyDescent="0.2">
      <c r="C139" s="1"/>
      <c r="D139" s="1"/>
      <c r="E139" s="1"/>
      <c r="F139" s="1"/>
      <c r="G139" s="1"/>
      <c r="H139" s="1"/>
      <c r="I139" s="1"/>
      <c r="J139" s="1"/>
      <c r="AA139" s="1"/>
    </row>
    <row r="140" spans="3:27" ht="12" x14ac:dyDescent="0.2">
      <c r="C140" s="1"/>
      <c r="D140" s="1"/>
      <c r="E140" s="1"/>
      <c r="F140" s="1"/>
      <c r="G140" s="1"/>
      <c r="H140" s="1"/>
      <c r="I140" s="1"/>
      <c r="J140" s="1"/>
      <c r="AA140" s="1"/>
    </row>
    <row r="141" spans="3:27" ht="12" x14ac:dyDescent="0.2">
      <c r="C141" s="1"/>
      <c r="D141" s="1"/>
      <c r="E141" s="1"/>
      <c r="F141" s="1"/>
      <c r="G141" s="1"/>
      <c r="H141" s="1"/>
      <c r="I141" s="1"/>
      <c r="J141" s="1"/>
      <c r="AA141" s="1"/>
    </row>
    <row r="142" spans="3:27" ht="12" x14ac:dyDescent="0.2">
      <c r="C142" s="1"/>
      <c r="D142" s="1"/>
      <c r="E142" s="1"/>
      <c r="F142" s="1"/>
      <c r="G142" s="1"/>
      <c r="H142" s="1"/>
      <c r="I142" s="1"/>
      <c r="J142" s="1"/>
      <c r="AA142" s="1"/>
    </row>
    <row r="143" spans="3:27" ht="12" x14ac:dyDescent="0.2">
      <c r="C143" s="1"/>
      <c r="D143" s="1"/>
      <c r="E143" s="1"/>
      <c r="F143" s="1"/>
      <c r="G143" s="1"/>
      <c r="H143" s="1"/>
      <c r="I143" s="1"/>
      <c r="J143" s="1"/>
      <c r="AA143" s="1"/>
    </row>
    <row r="144" spans="3:27" ht="12" x14ac:dyDescent="0.2">
      <c r="C144" s="1"/>
      <c r="D144" s="1"/>
      <c r="E144" s="1"/>
      <c r="F144" s="1"/>
      <c r="G144" s="245"/>
      <c r="H144" s="245"/>
      <c r="I144" s="245"/>
      <c r="J144" s="245"/>
    </row>
    <row r="145" spans="3:10" ht="12" x14ac:dyDescent="0.2">
      <c r="C145" s="1"/>
      <c r="D145" s="1"/>
      <c r="E145" s="1"/>
      <c r="F145" s="1"/>
      <c r="G145" s="245"/>
      <c r="H145" s="245"/>
      <c r="I145" s="245"/>
      <c r="J145" s="245"/>
    </row>
    <row r="146" spans="3:10" ht="12" x14ac:dyDescent="0.2">
      <c r="C146" s="1"/>
      <c r="D146" s="1"/>
      <c r="E146" s="1"/>
      <c r="F146" s="1"/>
      <c r="G146" s="245"/>
      <c r="H146" s="245"/>
      <c r="I146" s="245"/>
      <c r="J146" s="245"/>
    </row>
    <row r="147" spans="3:10" ht="12" x14ac:dyDescent="0.2">
      <c r="C147" s="1"/>
      <c r="D147" s="1"/>
      <c r="E147" s="1"/>
      <c r="F147" s="1"/>
      <c r="G147" s="245"/>
      <c r="H147" s="245"/>
      <c r="I147" s="245"/>
      <c r="J147" s="245"/>
    </row>
    <row r="148" spans="3:10" ht="12" x14ac:dyDescent="0.2">
      <c r="C148" s="1"/>
      <c r="D148" s="1"/>
      <c r="E148" s="1"/>
      <c r="F148" s="1"/>
      <c r="G148" s="245"/>
      <c r="H148" s="245"/>
      <c r="I148" s="245"/>
      <c r="J148" s="245"/>
    </row>
    <row r="149" spans="3:10" ht="12" x14ac:dyDescent="0.2">
      <c r="C149" s="1"/>
      <c r="D149" s="1"/>
      <c r="E149" s="1"/>
      <c r="F149" s="1"/>
      <c r="G149" s="245"/>
      <c r="H149" s="245"/>
      <c r="I149" s="245"/>
      <c r="J149" s="245"/>
    </row>
    <row r="150" spans="3:10" ht="12" x14ac:dyDescent="0.2">
      <c r="C150" s="1"/>
      <c r="D150" s="1"/>
      <c r="E150" s="1"/>
      <c r="F150" s="1"/>
      <c r="G150" s="245"/>
      <c r="H150" s="245"/>
      <c r="I150" s="245"/>
      <c r="J150" s="245"/>
    </row>
    <row r="151" spans="3:10" ht="12" x14ac:dyDescent="0.2">
      <c r="C151" s="1"/>
      <c r="D151" s="1"/>
      <c r="E151" s="1"/>
      <c r="F151" s="1"/>
      <c r="G151" s="245"/>
      <c r="H151" s="245"/>
      <c r="I151" s="245"/>
      <c r="J151" s="245"/>
    </row>
    <row r="152" spans="3:10" ht="12" x14ac:dyDescent="0.2">
      <c r="C152" s="1"/>
      <c r="D152" s="1"/>
      <c r="E152" s="1"/>
      <c r="F152" s="1"/>
      <c r="G152" s="245"/>
      <c r="H152" s="245"/>
      <c r="I152" s="245"/>
      <c r="J152" s="245"/>
    </row>
    <row r="153" spans="3:10" ht="12" x14ac:dyDescent="0.2">
      <c r="C153" s="1"/>
      <c r="D153" s="1"/>
      <c r="E153" s="1"/>
      <c r="F153" s="1"/>
      <c r="G153" s="245"/>
      <c r="H153" s="245"/>
      <c r="I153" s="245"/>
      <c r="J153" s="245"/>
    </row>
    <row r="154" spans="3:10" ht="12" x14ac:dyDescent="0.2">
      <c r="C154" s="1"/>
      <c r="D154" s="1"/>
      <c r="E154" s="1"/>
      <c r="F154" s="1"/>
      <c r="G154" s="245"/>
      <c r="H154" s="245"/>
      <c r="I154" s="245"/>
      <c r="J154" s="245"/>
    </row>
    <row r="155" spans="3:10" ht="12" x14ac:dyDescent="0.2">
      <c r="C155" s="1"/>
      <c r="D155" s="1"/>
      <c r="E155" s="1"/>
      <c r="F155" s="1"/>
      <c r="G155" s="245"/>
      <c r="H155" s="245"/>
      <c r="I155" s="245"/>
      <c r="J155" s="245"/>
    </row>
    <row r="156" spans="3:10" ht="12" x14ac:dyDescent="0.2">
      <c r="C156" s="1"/>
      <c r="D156" s="1"/>
      <c r="E156" s="1"/>
      <c r="F156" s="1"/>
      <c r="G156" s="245"/>
      <c r="H156" s="245"/>
      <c r="I156" s="245"/>
      <c r="J156" s="245"/>
    </row>
    <row r="157" spans="3:10" ht="12" x14ac:dyDescent="0.2">
      <c r="C157" s="1"/>
      <c r="D157" s="1"/>
      <c r="E157" s="1"/>
      <c r="F157" s="1"/>
      <c r="G157" s="245"/>
      <c r="H157" s="245"/>
      <c r="I157" s="245"/>
      <c r="J157" s="245"/>
    </row>
    <row r="158" spans="3:10" ht="12" x14ac:dyDescent="0.2">
      <c r="C158" s="1"/>
      <c r="D158" s="1"/>
      <c r="E158" s="1"/>
      <c r="F158" s="1"/>
      <c r="G158" s="245"/>
      <c r="H158" s="245"/>
      <c r="I158" s="245"/>
      <c r="J158" s="245"/>
    </row>
    <row r="159" spans="3:10" ht="12" x14ac:dyDescent="0.2">
      <c r="C159" s="1"/>
      <c r="D159" s="1"/>
      <c r="E159" s="1"/>
      <c r="F159" s="1"/>
      <c r="G159" s="245"/>
      <c r="H159" s="245"/>
      <c r="I159" s="245"/>
      <c r="J159" s="245"/>
    </row>
    <row r="160" spans="3:10" ht="12" x14ac:dyDescent="0.2">
      <c r="C160" s="1"/>
      <c r="D160" s="1"/>
      <c r="E160" s="1"/>
      <c r="F160" s="1"/>
      <c r="G160" s="245"/>
      <c r="H160" s="245"/>
      <c r="I160" s="245"/>
      <c r="J160" s="245"/>
    </row>
    <row r="161" spans="3:10" ht="12" x14ac:dyDescent="0.2">
      <c r="C161" s="1"/>
      <c r="D161" s="1"/>
      <c r="E161" s="1"/>
      <c r="F161" s="1"/>
      <c r="G161" s="245"/>
      <c r="H161" s="245"/>
      <c r="I161" s="245"/>
      <c r="J161" s="245"/>
    </row>
    <row r="162" spans="3:10" ht="12" x14ac:dyDescent="0.2">
      <c r="C162" s="1"/>
      <c r="D162" s="1"/>
      <c r="E162" s="1"/>
      <c r="F162" s="1"/>
      <c r="G162" s="245"/>
      <c r="H162" s="245"/>
      <c r="I162" s="245"/>
      <c r="J162" s="245"/>
    </row>
    <row r="163" spans="3:10" ht="12" x14ac:dyDescent="0.2">
      <c r="C163" s="1"/>
      <c r="D163" s="1"/>
      <c r="E163" s="1"/>
      <c r="F163" s="1"/>
      <c r="G163" s="245"/>
      <c r="H163" s="245"/>
      <c r="I163" s="245"/>
      <c r="J163" s="245"/>
    </row>
    <row r="164" spans="3:10" ht="12" x14ac:dyDescent="0.2">
      <c r="C164" s="1"/>
      <c r="D164" s="1"/>
      <c r="E164" s="1"/>
      <c r="F164" s="1"/>
      <c r="G164" s="245"/>
      <c r="H164" s="245"/>
      <c r="I164" s="245"/>
      <c r="J164" s="245"/>
    </row>
    <row r="165" spans="3:10" ht="12" x14ac:dyDescent="0.2">
      <c r="C165" s="1"/>
      <c r="D165" s="1"/>
      <c r="E165" s="1"/>
      <c r="F165" s="1"/>
      <c r="G165" s="245"/>
      <c r="H165" s="245"/>
      <c r="I165" s="245"/>
      <c r="J165" s="245"/>
    </row>
    <row r="166" spans="3:10" ht="12" x14ac:dyDescent="0.2">
      <c r="C166" s="1"/>
      <c r="D166" s="1"/>
      <c r="E166" s="1"/>
      <c r="F166" s="1"/>
      <c r="G166" s="245"/>
      <c r="H166" s="245"/>
      <c r="I166" s="245"/>
      <c r="J166" s="245"/>
    </row>
  </sheetData>
  <mergeCells count="119">
    <mergeCell ref="S50:T50"/>
    <mergeCell ref="AB50:AC50"/>
    <mergeCell ref="AB75:AC75"/>
    <mergeCell ref="M75:N75"/>
    <mergeCell ref="M7:N7"/>
    <mergeCell ref="O7:P7"/>
    <mergeCell ref="O35:P35"/>
    <mergeCell ref="O50:P50"/>
    <mergeCell ref="M43:N43"/>
    <mergeCell ref="M35:N35"/>
    <mergeCell ref="M50:N50"/>
    <mergeCell ref="O75:P75"/>
    <mergeCell ref="Q50:R50"/>
    <mergeCell ref="Q75:R75"/>
    <mergeCell ref="U50:V50"/>
    <mergeCell ref="U75:V75"/>
    <mergeCell ref="W7:X7"/>
    <mergeCell ref="W35:X35"/>
    <mergeCell ref="W43:X43"/>
    <mergeCell ref="W50:X50"/>
    <mergeCell ref="W75:X75"/>
    <mergeCell ref="S75:T75"/>
    <mergeCell ref="S7:T7"/>
    <mergeCell ref="S35:T35"/>
    <mergeCell ref="S43:T43"/>
    <mergeCell ref="C46:D46"/>
    <mergeCell ref="O43:P43"/>
    <mergeCell ref="AB7:AC7"/>
    <mergeCell ref="AB35:AC35"/>
    <mergeCell ref="I45:J45"/>
    <mergeCell ref="G46:H46"/>
    <mergeCell ref="I46:J46"/>
    <mergeCell ref="Q43:R43"/>
    <mergeCell ref="AB43:AC43"/>
    <mergeCell ref="C44:D44"/>
    <mergeCell ref="K7:L7"/>
    <mergeCell ref="I7:J7"/>
    <mergeCell ref="I43:J43"/>
    <mergeCell ref="G45:H45"/>
    <mergeCell ref="G44:H44"/>
    <mergeCell ref="Q7:R7"/>
    <mergeCell ref="Q35:R35"/>
    <mergeCell ref="U7:V7"/>
    <mergeCell ref="U35:V35"/>
    <mergeCell ref="U43:V43"/>
    <mergeCell ref="Y7:Z7"/>
    <mergeCell ref="Y35:Z35"/>
    <mergeCell ref="Y43:Z43"/>
    <mergeCell ref="G75:H75"/>
    <mergeCell ref="I75:J75"/>
    <mergeCell ref="K50:L50"/>
    <mergeCell ref="C35:D35"/>
    <mergeCell ref="E35:F35"/>
    <mergeCell ref="C45:D45"/>
    <mergeCell ref="E45:F45"/>
    <mergeCell ref="E44:F44"/>
    <mergeCell ref="C43:D43"/>
    <mergeCell ref="E43:F43"/>
    <mergeCell ref="I44:J44"/>
    <mergeCell ref="G43:H43"/>
    <mergeCell ref="K35:L35"/>
    <mergeCell ref="C50:D50"/>
    <mergeCell ref="E75:F75"/>
    <mergeCell ref="C75:D75"/>
    <mergeCell ref="E50:F50"/>
    <mergeCell ref="K75:L75"/>
    <mergeCell ref="E46:F46"/>
    <mergeCell ref="G35:H35"/>
    <mergeCell ref="G50:H50"/>
    <mergeCell ref="K43:L43"/>
    <mergeCell ref="I35:J35"/>
    <mergeCell ref="I50:J50"/>
    <mergeCell ref="E110:F110"/>
    <mergeCell ref="G110:H110"/>
    <mergeCell ref="I110:J110"/>
    <mergeCell ref="O110:P110"/>
    <mergeCell ref="Q110:R110"/>
    <mergeCell ref="AB110:AC110"/>
    <mergeCell ref="C112:D112"/>
    <mergeCell ref="I112:J112"/>
    <mergeCell ref="K110:L110"/>
    <mergeCell ref="M110:N110"/>
    <mergeCell ref="U110:V110"/>
    <mergeCell ref="W110:X110"/>
    <mergeCell ref="S110:T110"/>
    <mergeCell ref="C127:D127"/>
    <mergeCell ref="I127:J127"/>
    <mergeCell ref="C123:D123"/>
    <mergeCell ref="I123:J123"/>
    <mergeCell ref="C124:D124"/>
    <mergeCell ref="I124:J124"/>
    <mergeCell ref="C126:D126"/>
    <mergeCell ref="I126:J126"/>
    <mergeCell ref="C119:D119"/>
    <mergeCell ref="I119:J119"/>
    <mergeCell ref="Y50:Z50"/>
    <mergeCell ref="Y75:Z75"/>
    <mergeCell ref="Y110:Z110"/>
    <mergeCell ref="C125:D125"/>
    <mergeCell ref="I125:J125"/>
    <mergeCell ref="C120:D120"/>
    <mergeCell ref="I120:J120"/>
    <mergeCell ref="C121:D121"/>
    <mergeCell ref="I121:J121"/>
    <mergeCell ref="C122:D122"/>
    <mergeCell ref="I122:J122"/>
    <mergeCell ref="C114:D114"/>
    <mergeCell ref="I114:J114"/>
    <mergeCell ref="C115:D115"/>
    <mergeCell ref="I115:J115"/>
    <mergeCell ref="C116:D116"/>
    <mergeCell ref="I116:J116"/>
    <mergeCell ref="C117:D117"/>
    <mergeCell ref="I117:J117"/>
    <mergeCell ref="C118:D118"/>
    <mergeCell ref="I118:J118"/>
    <mergeCell ref="C113:D113"/>
    <mergeCell ref="I113:J113"/>
    <mergeCell ref="C110:D110"/>
  </mergeCells>
  <phoneticPr fontId="0" type="noConversion"/>
  <printOptions horizontalCentered="1"/>
  <pageMargins left="0.23" right="0.27" top="0.25" bottom="0.25" header="0.5" footer="0.5"/>
  <pageSetup scale="65" orientation="landscape" horizontalDpi="4294967292" verticalDpi="4294967292" r:id="rId1"/>
  <headerFooter alignWithMargins="0">
    <oddFooter>&amp;R&amp;P of &amp;N
&amp;D</oddFooter>
  </headerFooter>
  <rowBreaks count="2" manualBreakCount="2">
    <brk id="72" max="25" man="1"/>
    <brk id="128" max="2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22"/>
  <sheetViews>
    <sheetView zoomScale="110" zoomScaleNormal="110" workbookViewId="0">
      <pane xSplit="6" topLeftCell="M1" activePane="topRight" state="frozen"/>
      <selection activeCell="Z73" sqref="Z73"/>
      <selection pane="topRight" activeCell="Z73" sqref="Z73"/>
    </sheetView>
  </sheetViews>
  <sheetFormatPr defaultColWidth="10.28515625" defaultRowHeight="12.75" x14ac:dyDescent="0.2"/>
  <cols>
    <col min="1" max="1" width="3.7109375" style="1" customWidth="1"/>
    <col min="2" max="2" width="29.7109375" style="1" customWidth="1"/>
    <col min="3" max="3" width="7.7109375" hidden="1" customWidth="1"/>
    <col min="4" max="4" width="10.42578125" hidden="1" customWidth="1"/>
    <col min="5" max="5" width="7.7109375" hidden="1" customWidth="1"/>
    <col min="6" max="6" width="10.42578125" hidden="1" customWidth="1"/>
    <col min="7" max="7" width="7.7109375" style="246" hidden="1" customWidth="1"/>
    <col min="8" max="8" width="10.28515625" style="246" hidden="1" customWidth="1"/>
    <col min="9" max="9" width="7.7109375" style="246" hidden="1" customWidth="1"/>
    <col min="10" max="10" width="10.28515625" style="246" hidden="1" customWidth="1"/>
    <col min="11" max="11" width="7.7109375" style="1" hidden="1" customWidth="1"/>
    <col min="12" max="12" width="10.42578125" style="1" hidden="1" customWidth="1"/>
    <col min="13" max="13" width="7.7109375" style="1" hidden="1" customWidth="1"/>
    <col min="14" max="14" width="10.28515625" style="1" hidden="1" customWidth="1"/>
    <col min="15" max="15" width="7.7109375" style="1" customWidth="1"/>
    <col min="16" max="16" width="10.28515625" style="1" customWidth="1"/>
    <col min="17" max="17" width="7.7109375" style="1" customWidth="1"/>
    <col min="18" max="18" width="10.28515625" style="1" customWidth="1"/>
    <col min="19" max="19" width="7.7109375" style="1" customWidth="1"/>
    <col min="20" max="20" width="10.28515625" style="1" customWidth="1"/>
    <col min="21" max="21" width="7.7109375" style="1" customWidth="1"/>
    <col min="22" max="22" width="10.28515625" style="1" customWidth="1"/>
    <col min="23" max="23" width="7.7109375" style="1" customWidth="1"/>
    <col min="24" max="24" width="10.28515625" style="1" customWidth="1"/>
    <col min="25" max="25" width="7.7109375" style="1" customWidth="1"/>
    <col min="26" max="26" width="10.28515625" style="1" customWidth="1"/>
    <col min="27" max="27" width="5" style="1" customWidth="1"/>
    <col min="28" max="28" width="7.7109375" style="1" customWidth="1"/>
    <col min="29" max="16384" width="10.28515625" style="1"/>
  </cols>
  <sheetData>
    <row r="1" spans="1:31" ht="18" x14ac:dyDescent="0.25">
      <c r="A1" s="695" t="str">
        <f>Dean_Bus!A1</f>
        <v>Department Profile Report - FY 2015</v>
      </c>
      <c r="B1" s="695"/>
      <c r="C1" s="695"/>
      <c r="D1" s="695"/>
      <c r="E1" s="695"/>
      <c r="F1" s="695"/>
      <c r="G1" s="695"/>
      <c r="H1" s="695"/>
      <c r="I1" s="696"/>
      <c r="J1" s="696"/>
      <c r="K1" s="696"/>
      <c r="L1" s="696"/>
      <c r="M1" s="696"/>
      <c r="N1" s="696"/>
      <c r="O1" s="696"/>
      <c r="P1" s="696"/>
      <c r="Q1" s="696"/>
      <c r="R1" s="696"/>
      <c r="S1" s="696"/>
      <c r="T1" s="696"/>
      <c r="U1" s="696"/>
      <c r="V1" s="696"/>
      <c r="W1" s="696"/>
      <c r="X1" s="696"/>
      <c r="Y1" s="696"/>
      <c r="Z1" s="696"/>
      <c r="AA1" s="696"/>
      <c r="AB1" s="696"/>
      <c r="AC1" s="696"/>
    </row>
    <row r="2" spans="1:31" x14ac:dyDescent="0.2">
      <c r="A2" s="3" t="s">
        <v>0</v>
      </c>
      <c r="C2" s="1"/>
      <c r="D2" s="1"/>
      <c r="E2" s="1"/>
      <c r="F2" s="1"/>
      <c r="G2" s="245"/>
      <c r="H2" s="245"/>
      <c r="I2" s="245"/>
      <c r="J2" s="245"/>
    </row>
    <row r="3" spans="1:31" ht="5.25" customHeight="1" x14ac:dyDescent="0.2">
      <c r="C3" s="1"/>
      <c r="D3" s="1"/>
      <c r="E3" s="1"/>
      <c r="F3" s="1"/>
      <c r="G3" s="245"/>
      <c r="H3" s="245"/>
      <c r="I3" s="245"/>
      <c r="J3" s="245"/>
    </row>
    <row r="4" spans="1:31" x14ac:dyDescent="0.2">
      <c r="A4" s="3" t="s">
        <v>61</v>
      </c>
      <c r="C4" s="1"/>
      <c r="D4" s="1"/>
      <c r="E4" s="1"/>
      <c r="F4" s="1"/>
      <c r="G4" s="245"/>
      <c r="H4" s="245"/>
      <c r="I4" s="245"/>
      <c r="J4" s="245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</row>
    <row r="5" spans="1:31" ht="13.5" thickBot="1" x14ac:dyDescent="0.25">
      <c r="A5" s="3"/>
      <c r="C5" s="1"/>
      <c r="D5" s="1"/>
      <c r="E5" s="1"/>
      <c r="F5" s="1"/>
      <c r="G5" s="245"/>
      <c r="H5" s="245"/>
      <c r="I5" s="245"/>
      <c r="J5" s="245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B5" s="12"/>
      <c r="AC5" s="12"/>
    </row>
    <row r="6" spans="1:31" ht="13.5" customHeight="1" thickTop="1" x14ac:dyDescent="0.2">
      <c r="B6" s="42"/>
      <c r="C6" s="21" t="s">
        <v>39</v>
      </c>
      <c r="D6" s="22"/>
      <c r="E6" s="8" t="s">
        <v>40</v>
      </c>
      <c r="F6" s="4"/>
      <c r="G6" s="326" t="s">
        <v>97</v>
      </c>
      <c r="H6" s="244"/>
      <c r="I6" s="1180" t="s">
        <v>108</v>
      </c>
      <c r="J6" s="1180"/>
      <c r="K6" s="1179" t="s">
        <v>109</v>
      </c>
      <c r="L6" s="1180"/>
      <c r="M6" s="1179" t="s">
        <v>111</v>
      </c>
      <c r="N6" s="1181"/>
      <c r="O6" s="1180" t="s">
        <v>164</v>
      </c>
      <c r="P6" s="1181"/>
      <c r="Q6" s="1180" t="s">
        <v>169</v>
      </c>
      <c r="R6" s="1181"/>
      <c r="S6" s="1180" t="s">
        <v>176</v>
      </c>
      <c r="T6" s="1181"/>
      <c r="U6" s="1180" t="s">
        <v>179</v>
      </c>
      <c r="V6" s="1181"/>
      <c r="W6" s="1180" t="s">
        <v>183</v>
      </c>
      <c r="X6" s="1181"/>
      <c r="Y6" s="1180" t="s">
        <v>187</v>
      </c>
      <c r="Z6" s="1181"/>
      <c r="AB6" s="1168" t="s">
        <v>118</v>
      </c>
      <c r="AC6" s="1169"/>
    </row>
    <row r="7" spans="1:31" ht="12" x14ac:dyDescent="0.2">
      <c r="B7" s="43"/>
      <c r="C7" s="23" t="s">
        <v>1</v>
      </c>
      <c r="D7" s="24" t="s">
        <v>2</v>
      </c>
      <c r="E7" s="9" t="s">
        <v>1</v>
      </c>
      <c r="F7" s="5" t="s">
        <v>2</v>
      </c>
      <c r="G7" s="327" t="s">
        <v>1</v>
      </c>
      <c r="H7" s="353" t="s">
        <v>2</v>
      </c>
      <c r="I7" s="401" t="s">
        <v>1</v>
      </c>
      <c r="J7" s="427" t="s">
        <v>2</v>
      </c>
      <c r="K7" s="327" t="s">
        <v>1</v>
      </c>
      <c r="L7" s="427" t="s">
        <v>2</v>
      </c>
      <c r="M7" s="327" t="s">
        <v>1</v>
      </c>
      <c r="N7" s="353" t="s">
        <v>2</v>
      </c>
      <c r="O7" s="401" t="s">
        <v>1</v>
      </c>
      <c r="P7" s="353" t="s">
        <v>2</v>
      </c>
      <c r="Q7" s="401" t="s">
        <v>1</v>
      </c>
      <c r="R7" s="353" t="s">
        <v>2</v>
      </c>
      <c r="S7" s="401" t="s">
        <v>1</v>
      </c>
      <c r="T7" s="353" t="s">
        <v>2</v>
      </c>
      <c r="U7" s="401" t="s">
        <v>1</v>
      </c>
      <c r="V7" s="353" t="s">
        <v>2</v>
      </c>
      <c r="W7" s="401" t="s">
        <v>1</v>
      </c>
      <c r="X7" s="353" t="s">
        <v>2</v>
      </c>
      <c r="Y7" s="401" t="s">
        <v>1</v>
      </c>
      <c r="Z7" s="353" t="s">
        <v>2</v>
      </c>
      <c r="AA7" s="583"/>
      <c r="AB7" s="665" t="s">
        <v>1</v>
      </c>
      <c r="AC7" s="663" t="s">
        <v>2</v>
      </c>
    </row>
    <row r="8" spans="1:31" thickBot="1" x14ac:dyDescent="0.25">
      <c r="B8" s="44"/>
      <c r="C8" s="547" t="s">
        <v>3</v>
      </c>
      <c r="D8" s="86" t="s">
        <v>4</v>
      </c>
      <c r="E8" s="85" t="s">
        <v>3</v>
      </c>
      <c r="F8" s="308" t="s">
        <v>4</v>
      </c>
      <c r="G8" s="328" t="s">
        <v>3</v>
      </c>
      <c r="H8" s="354" t="s">
        <v>4</v>
      </c>
      <c r="I8" s="402" t="s">
        <v>3</v>
      </c>
      <c r="J8" s="428" t="s">
        <v>4</v>
      </c>
      <c r="K8" s="328" t="s">
        <v>3</v>
      </c>
      <c r="L8" s="428" t="s">
        <v>4</v>
      </c>
      <c r="M8" s="328" t="s">
        <v>3</v>
      </c>
      <c r="N8" s="354" t="s">
        <v>4</v>
      </c>
      <c r="O8" s="402" t="s">
        <v>3</v>
      </c>
      <c r="P8" s="354" t="s">
        <v>4</v>
      </c>
      <c r="Q8" s="402" t="s">
        <v>3</v>
      </c>
      <c r="R8" s="354" t="s">
        <v>4</v>
      </c>
      <c r="S8" s="402" t="s">
        <v>3</v>
      </c>
      <c r="T8" s="354" t="s">
        <v>4</v>
      </c>
      <c r="U8" s="402" t="s">
        <v>3</v>
      </c>
      <c r="V8" s="354" t="s">
        <v>4</v>
      </c>
      <c r="W8" s="402" t="s">
        <v>3</v>
      </c>
      <c r="X8" s="354" t="s">
        <v>4</v>
      </c>
      <c r="Y8" s="402" t="s">
        <v>3</v>
      </c>
      <c r="Z8" s="354" t="s">
        <v>4</v>
      </c>
      <c r="AA8" s="583"/>
      <c r="AB8" s="590" t="s">
        <v>3</v>
      </c>
      <c r="AC8" s="664" t="s">
        <v>4</v>
      </c>
    </row>
    <row r="9" spans="1:31" ht="12" x14ac:dyDescent="0.2">
      <c r="B9" s="45" t="s">
        <v>5</v>
      </c>
      <c r="C9" s="548"/>
      <c r="D9" s="88"/>
      <c r="E9" s="87"/>
      <c r="F9" s="108"/>
      <c r="G9" s="285"/>
      <c r="H9" s="355"/>
      <c r="I9" s="366"/>
      <c r="J9" s="429"/>
      <c r="K9" s="285"/>
      <c r="L9" s="429"/>
      <c r="M9" s="285"/>
      <c r="N9" s="355"/>
      <c r="O9" s="366"/>
      <c r="P9" s="355"/>
      <c r="Q9" s="366"/>
      <c r="R9" s="355"/>
      <c r="S9" s="366"/>
      <c r="T9" s="355"/>
      <c r="U9" s="366"/>
      <c r="V9" s="355"/>
      <c r="W9" s="366"/>
      <c r="X9" s="355"/>
      <c r="Y9" s="366"/>
      <c r="Z9" s="355"/>
      <c r="AA9" s="583"/>
      <c r="AB9" s="19"/>
      <c r="AC9" s="583"/>
    </row>
    <row r="10" spans="1:31" ht="12" x14ac:dyDescent="0.2">
      <c r="B10" s="896" t="s">
        <v>28</v>
      </c>
      <c r="C10" s="26"/>
      <c r="D10" s="29"/>
      <c r="E10" s="13"/>
      <c r="F10" s="14"/>
      <c r="G10" s="280"/>
      <c r="H10" s="356"/>
      <c r="I10" s="358"/>
      <c r="J10" s="430"/>
      <c r="K10" s="280"/>
      <c r="L10" s="430"/>
      <c r="M10" s="280"/>
      <c r="N10" s="356"/>
      <c r="O10" s="358"/>
      <c r="P10" s="356"/>
      <c r="Q10" s="358"/>
      <c r="R10" s="356"/>
      <c r="S10" s="358"/>
      <c r="T10" s="356"/>
      <c r="U10" s="358"/>
      <c r="V10" s="356"/>
      <c r="W10" s="358"/>
      <c r="X10" s="356"/>
      <c r="Y10" s="358"/>
      <c r="Z10" s="356"/>
      <c r="AA10" s="583"/>
      <c r="AB10" s="19"/>
      <c r="AC10" s="583"/>
      <c r="AD10" s="1" t="s">
        <v>26</v>
      </c>
    </row>
    <row r="11" spans="1:31" ht="12" x14ac:dyDescent="0.2">
      <c r="B11" s="47" t="s">
        <v>151</v>
      </c>
      <c r="C11" s="28">
        <v>206</v>
      </c>
      <c r="D11" s="29">
        <v>87</v>
      </c>
      <c r="E11" s="10">
        <f>192+19</f>
        <v>211</v>
      </c>
      <c r="F11" s="6">
        <v>91</v>
      </c>
      <c r="G11" s="281">
        <v>235</v>
      </c>
      <c r="H11" s="391">
        <v>91</v>
      </c>
      <c r="I11" s="254">
        <v>241</v>
      </c>
      <c r="J11" s="122">
        <f>53+27+5</f>
        <v>85</v>
      </c>
      <c r="K11" s="281">
        <v>237</v>
      </c>
      <c r="L11" s="122">
        <f>95+9</f>
        <v>104</v>
      </c>
      <c r="M11" s="281">
        <f>202+33</f>
        <v>235</v>
      </c>
      <c r="N11" s="391">
        <v>84</v>
      </c>
      <c r="O11" s="254">
        <f>223+31</f>
        <v>254</v>
      </c>
      <c r="P11" s="391">
        <f>107+14</f>
        <v>121</v>
      </c>
      <c r="Q11" s="254">
        <v>293</v>
      </c>
      <c r="R11" s="391">
        <v>99</v>
      </c>
      <c r="S11" s="254">
        <v>296</v>
      </c>
      <c r="T11" s="391">
        <v>133</v>
      </c>
      <c r="U11" s="254">
        <v>277</v>
      </c>
      <c r="V11" s="391">
        <v>104</v>
      </c>
      <c r="W11" s="254">
        <v>281</v>
      </c>
      <c r="X11" s="391">
        <v>109</v>
      </c>
      <c r="Y11" s="254">
        <v>267</v>
      </c>
      <c r="Z11" s="1015"/>
      <c r="AA11" s="583"/>
      <c r="AB11" s="673">
        <f>AVERAGE(W11,U11,S11,Q11,Y11)</f>
        <v>282.8</v>
      </c>
      <c r="AC11" s="674">
        <f>AVERAGE(X11,V11,T11,R11,Z11)</f>
        <v>111.25</v>
      </c>
    </row>
    <row r="12" spans="1:31" thickBot="1" x14ac:dyDescent="0.25">
      <c r="B12" s="48" t="s">
        <v>152</v>
      </c>
      <c r="C12" s="550">
        <v>51</v>
      </c>
      <c r="D12" s="212">
        <v>28</v>
      </c>
      <c r="E12" s="211">
        <v>57</v>
      </c>
      <c r="F12" s="323">
        <v>46</v>
      </c>
      <c r="G12" s="329">
        <v>48</v>
      </c>
      <c r="H12" s="403">
        <v>46</v>
      </c>
      <c r="I12" s="301">
        <v>51</v>
      </c>
      <c r="J12" s="442">
        <f>15+34</f>
        <v>49</v>
      </c>
      <c r="K12" s="329">
        <v>52</v>
      </c>
      <c r="L12" s="442">
        <v>41</v>
      </c>
      <c r="M12" s="329">
        <v>40</v>
      </c>
      <c r="N12" s="403">
        <v>37</v>
      </c>
      <c r="O12" s="301">
        <v>43</v>
      </c>
      <c r="P12" s="403">
        <v>30</v>
      </c>
      <c r="Q12" s="301">
        <v>65</v>
      </c>
      <c r="R12" s="403">
        <v>49</v>
      </c>
      <c r="S12" s="301">
        <v>53</v>
      </c>
      <c r="T12" s="403">
        <v>37</v>
      </c>
      <c r="U12" s="301">
        <v>60</v>
      </c>
      <c r="V12" s="403">
        <v>44</v>
      </c>
      <c r="W12" s="301">
        <v>44</v>
      </c>
      <c r="X12" s="403">
        <v>39</v>
      </c>
      <c r="Y12" s="301">
        <v>37</v>
      </c>
      <c r="Z12" s="1034"/>
      <c r="AA12" s="583"/>
      <c r="AB12" s="667">
        <f t="shared" ref="AB12:AC12" si="0">AVERAGE(W12,U12,S12,Q12,Y12)</f>
        <v>51.8</v>
      </c>
      <c r="AC12" s="602">
        <f t="shared" si="0"/>
        <v>42.25</v>
      </c>
      <c r="AD12" s="1" t="s">
        <v>26</v>
      </c>
    </row>
    <row r="13" spans="1:31" thickTop="1" x14ac:dyDescent="0.2">
      <c r="B13" s="133" t="s">
        <v>150</v>
      </c>
      <c r="C13" s="58"/>
      <c r="D13" s="61"/>
      <c r="E13" s="58"/>
      <c r="F13" s="61"/>
      <c r="G13" s="249"/>
      <c r="H13" s="250"/>
      <c r="I13" s="249"/>
      <c r="J13" s="250"/>
      <c r="K13" s="249"/>
      <c r="L13" s="250"/>
      <c r="M13" s="249"/>
      <c r="N13" s="250"/>
      <c r="O13" s="249"/>
      <c r="P13" s="250"/>
      <c r="Q13" s="249"/>
      <c r="R13" s="250"/>
      <c r="S13" s="249"/>
      <c r="T13" s="250"/>
      <c r="U13" s="249"/>
      <c r="V13" s="250"/>
      <c r="W13" s="249"/>
      <c r="X13" s="250"/>
      <c r="Y13" s="249"/>
      <c r="Z13" s="250"/>
      <c r="AC13" s="605"/>
    </row>
    <row r="14" spans="1:31" thickBot="1" x14ac:dyDescent="0.25">
      <c r="C14" s="58"/>
      <c r="D14" s="61"/>
      <c r="E14" s="58"/>
      <c r="F14" s="61"/>
      <c r="G14" s="249"/>
      <c r="H14" s="250"/>
      <c r="I14" s="249"/>
      <c r="J14" s="250"/>
      <c r="K14" s="249"/>
      <c r="L14" s="250"/>
      <c r="M14" s="249"/>
      <c r="N14" s="250"/>
      <c r="O14" s="249"/>
      <c r="P14" s="250"/>
      <c r="Q14" s="249"/>
      <c r="R14" s="250"/>
      <c r="S14" s="249"/>
      <c r="T14" s="250"/>
      <c r="U14" s="249"/>
      <c r="V14" s="250"/>
      <c r="W14" s="249"/>
      <c r="X14" s="250"/>
      <c r="Y14" s="249"/>
      <c r="Z14" s="250"/>
      <c r="AB14" s="12"/>
      <c r="AC14" s="12"/>
    </row>
    <row r="15" spans="1:31" ht="14.25" thickTop="1" thickBot="1" x14ac:dyDescent="0.25">
      <c r="B15" s="866"/>
      <c r="C15" s="1153" t="s">
        <v>39</v>
      </c>
      <c r="D15" s="1152"/>
      <c r="E15" s="1153" t="s">
        <v>40</v>
      </c>
      <c r="F15" s="1153"/>
      <c r="G15" s="1150" t="s">
        <v>97</v>
      </c>
      <c r="H15" s="1134"/>
      <c r="I15" s="1133" t="s">
        <v>108</v>
      </c>
      <c r="J15" s="1133"/>
      <c r="K15" s="1150" t="s">
        <v>109</v>
      </c>
      <c r="L15" s="1133"/>
      <c r="M15" s="1150" t="s">
        <v>111</v>
      </c>
      <c r="N15" s="1134"/>
      <c r="O15" s="1133" t="s">
        <v>164</v>
      </c>
      <c r="P15" s="1134"/>
      <c r="Q15" s="1133" t="s">
        <v>169</v>
      </c>
      <c r="R15" s="1134"/>
      <c r="S15" s="1133" t="s">
        <v>176</v>
      </c>
      <c r="T15" s="1134"/>
      <c r="U15" s="1133" t="s">
        <v>179</v>
      </c>
      <c r="V15" s="1134"/>
      <c r="W15" s="1133" t="s">
        <v>183</v>
      </c>
      <c r="X15" s="1134"/>
      <c r="Y15" s="1133" t="s">
        <v>187</v>
      </c>
      <c r="Z15" s="1134"/>
      <c r="AB15" s="1197" t="s">
        <v>118</v>
      </c>
      <c r="AC15" s="1198"/>
    </row>
    <row r="16" spans="1:31" ht="12" x14ac:dyDescent="0.2">
      <c r="B16" s="45" t="s">
        <v>6</v>
      </c>
      <c r="C16" s="33"/>
      <c r="D16" s="150"/>
      <c r="E16" s="33"/>
      <c r="F16" s="33"/>
      <c r="G16" s="280"/>
      <c r="H16" s="360"/>
      <c r="I16" s="358"/>
      <c r="J16" s="358"/>
      <c r="K16" s="280"/>
      <c r="L16" s="358"/>
      <c r="M16" s="280"/>
      <c r="N16" s="360"/>
      <c r="O16" s="358"/>
      <c r="P16" s="360"/>
      <c r="Q16" s="358"/>
      <c r="R16" s="360"/>
      <c r="S16" s="358"/>
      <c r="T16" s="360"/>
      <c r="U16" s="358"/>
      <c r="V16" s="360"/>
      <c r="W16" s="358"/>
      <c r="X16" s="360"/>
      <c r="Y16" s="358"/>
      <c r="Z16" s="360"/>
      <c r="AA16" s="583"/>
      <c r="AC16" s="583"/>
      <c r="AE16" s="1" t="s">
        <v>26</v>
      </c>
    </row>
    <row r="17" spans="1:31" ht="12" x14ac:dyDescent="0.2">
      <c r="B17" s="49" t="s">
        <v>7</v>
      </c>
      <c r="C17" s="33"/>
      <c r="D17" s="150"/>
      <c r="E17" s="33"/>
      <c r="F17" s="33"/>
      <c r="G17" s="280"/>
      <c r="H17" s="360"/>
      <c r="I17" s="358"/>
      <c r="J17" s="358"/>
      <c r="K17" s="280"/>
      <c r="L17" s="358"/>
      <c r="M17" s="280"/>
      <c r="N17" s="360"/>
      <c r="O17" s="358"/>
      <c r="P17" s="360"/>
      <c r="Q17" s="358"/>
      <c r="R17" s="360"/>
      <c r="S17" s="358"/>
      <c r="T17" s="360"/>
      <c r="U17" s="358"/>
      <c r="V17" s="360"/>
      <c r="W17" s="358"/>
      <c r="X17" s="360"/>
      <c r="Y17" s="358"/>
      <c r="Z17" s="360"/>
      <c r="AA17" s="583"/>
      <c r="AC17" s="583"/>
    </row>
    <row r="18" spans="1:31" ht="12" x14ac:dyDescent="0.2">
      <c r="B18" s="49" t="s">
        <v>8</v>
      </c>
      <c r="C18" s="33"/>
      <c r="D18" s="184">
        <v>6477</v>
      </c>
      <c r="E18" s="181"/>
      <c r="F18" s="181">
        <v>6720</v>
      </c>
      <c r="G18" s="324"/>
      <c r="H18" s="393">
        <v>7761</v>
      </c>
      <c r="I18" s="398"/>
      <c r="J18" s="398">
        <v>7998</v>
      </c>
      <c r="K18" s="324"/>
      <c r="L18" s="398">
        <v>7992</v>
      </c>
      <c r="M18" s="324"/>
      <c r="N18" s="393">
        <v>7851</v>
      </c>
      <c r="O18" s="398"/>
      <c r="P18" s="393">
        <v>7848</v>
      </c>
      <c r="Q18" s="398"/>
      <c r="R18" s="393">
        <v>7701</v>
      </c>
      <c r="S18" s="398"/>
      <c r="T18" s="393">
        <v>7776</v>
      </c>
      <c r="U18" s="398"/>
      <c r="V18" s="393">
        <v>8535</v>
      </c>
      <c r="W18" s="398"/>
      <c r="X18" s="393">
        <v>8880</v>
      </c>
      <c r="Y18" s="398"/>
      <c r="Z18" s="1099"/>
      <c r="AA18" s="583"/>
      <c r="AB18" s="675"/>
      <c r="AC18" s="676">
        <f t="shared" ref="AC18:AC22" si="1">AVERAGE(X18,V18,T18,R18,Z18)</f>
        <v>8223</v>
      </c>
    </row>
    <row r="19" spans="1:31" ht="12" x14ac:dyDescent="0.2">
      <c r="B19" s="49" t="s">
        <v>9</v>
      </c>
      <c r="C19" s="33"/>
      <c r="D19" s="184">
        <v>3737</v>
      </c>
      <c r="E19" s="181"/>
      <c r="F19" s="181">
        <v>3480</v>
      </c>
      <c r="G19" s="324"/>
      <c r="H19" s="393">
        <v>3536</v>
      </c>
      <c r="I19" s="398"/>
      <c r="J19" s="398">
        <v>3664</v>
      </c>
      <c r="K19" s="324"/>
      <c r="L19" s="398">
        <v>3718</v>
      </c>
      <c r="M19" s="324"/>
      <c r="N19" s="393">
        <v>3796</v>
      </c>
      <c r="O19" s="398"/>
      <c r="P19" s="393">
        <v>4200</v>
      </c>
      <c r="Q19" s="398"/>
      <c r="R19" s="393">
        <v>4235</v>
      </c>
      <c r="S19" s="398"/>
      <c r="T19" s="393">
        <v>4640</v>
      </c>
      <c r="U19" s="398"/>
      <c r="V19" s="393">
        <v>4311</v>
      </c>
      <c r="W19" s="398"/>
      <c r="X19" s="393">
        <v>4305</v>
      </c>
      <c r="Y19" s="398"/>
      <c r="Z19" s="1099"/>
      <c r="AA19" s="583"/>
      <c r="AB19" s="677"/>
      <c r="AC19" s="676">
        <f t="shared" si="1"/>
        <v>4372.75</v>
      </c>
    </row>
    <row r="20" spans="1:31" ht="12" x14ac:dyDescent="0.2">
      <c r="B20" s="49" t="s">
        <v>10</v>
      </c>
      <c r="C20" s="33"/>
      <c r="D20" s="150">
        <v>825</v>
      </c>
      <c r="E20" s="33"/>
      <c r="F20" s="33">
        <v>882</v>
      </c>
      <c r="G20" s="280"/>
      <c r="H20" s="360">
        <v>882</v>
      </c>
      <c r="I20" s="358"/>
      <c r="J20" s="358">
        <v>837</v>
      </c>
      <c r="K20" s="280"/>
      <c r="L20" s="358">
        <v>924</v>
      </c>
      <c r="M20" s="280"/>
      <c r="N20" s="360">
        <v>732</v>
      </c>
      <c r="O20" s="358"/>
      <c r="P20" s="360">
        <v>816</v>
      </c>
      <c r="Q20" s="358"/>
      <c r="R20" s="360">
        <v>1081</v>
      </c>
      <c r="S20" s="358"/>
      <c r="T20" s="360">
        <v>910</v>
      </c>
      <c r="U20" s="358"/>
      <c r="V20" s="360">
        <v>1058</v>
      </c>
      <c r="W20" s="358"/>
      <c r="X20" s="360">
        <v>831</v>
      </c>
      <c r="Y20" s="358"/>
      <c r="Z20" s="1095"/>
      <c r="AA20" s="583"/>
      <c r="AB20" s="677"/>
      <c r="AC20" s="676">
        <f t="shared" si="1"/>
        <v>970</v>
      </c>
    </row>
    <row r="21" spans="1:31" ht="12" x14ac:dyDescent="0.2">
      <c r="B21" s="49" t="s">
        <v>11</v>
      </c>
      <c r="C21" s="33"/>
      <c r="D21" s="150"/>
      <c r="E21" s="33"/>
      <c r="F21" s="33"/>
      <c r="G21" s="280"/>
      <c r="H21" s="360">
        <v>0</v>
      </c>
      <c r="I21" s="358"/>
      <c r="J21" s="358">
        <v>0</v>
      </c>
      <c r="K21" s="280"/>
      <c r="L21" s="358">
        <v>0</v>
      </c>
      <c r="M21" s="280"/>
      <c r="N21" s="360">
        <v>0</v>
      </c>
      <c r="O21" s="358"/>
      <c r="P21" s="360">
        <v>0</v>
      </c>
      <c r="Q21" s="358"/>
      <c r="R21" s="360">
        <v>0</v>
      </c>
      <c r="S21" s="358"/>
      <c r="T21" s="360">
        <v>0</v>
      </c>
      <c r="U21" s="358"/>
      <c r="V21" s="360">
        <v>0</v>
      </c>
      <c r="W21" s="358"/>
      <c r="X21" s="360">
        <v>0</v>
      </c>
      <c r="Y21" s="358"/>
      <c r="Z21" s="1095"/>
      <c r="AA21" s="583"/>
      <c r="AB21" s="677"/>
      <c r="AC21" s="676">
        <f t="shared" si="1"/>
        <v>0</v>
      </c>
      <c r="AE21" s="245"/>
    </row>
    <row r="22" spans="1:31" thickBot="1" x14ac:dyDescent="0.25">
      <c r="B22" s="50" t="s">
        <v>12</v>
      </c>
      <c r="C22" s="860"/>
      <c r="D22" s="861">
        <f>SUM(D18:D21)</f>
        <v>11039</v>
      </c>
      <c r="E22" s="861"/>
      <c r="F22" s="225">
        <f>SUM(F18:F21)</f>
        <v>11082</v>
      </c>
      <c r="G22" s="325"/>
      <c r="H22" s="400">
        <f>SUM(H18:H21)</f>
        <v>12179</v>
      </c>
      <c r="I22" s="399"/>
      <c r="J22" s="399">
        <f>SUM(J18:J21)</f>
        <v>12499</v>
      </c>
      <c r="K22" s="325"/>
      <c r="L22" s="399">
        <f>SUM(L18:L21)</f>
        <v>12634</v>
      </c>
      <c r="M22" s="325"/>
      <c r="N22" s="400">
        <v>12379</v>
      </c>
      <c r="O22" s="399"/>
      <c r="P22" s="400">
        <f>SUM(P18:P21)</f>
        <v>12864</v>
      </c>
      <c r="Q22" s="399"/>
      <c r="R22" s="400">
        <f>SUM(R18:R21)</f>
        <v>13017</v>
      </c>
      <c r="S22" s="399"/>
      <c r="T22" s="400">
        <f>SUM(T18:T21)</f>
        <v>13326</v>
      </c>
      <c r="U22" s="399"/>
      <c r="V22" s="400">
        <f>SUM(V18:V21)</f>
        <v>13904</v>
      </c>
      <c r="W22" s="399"/>
      <c r="X22" s="400">
        <f>SUM(X18:X21)</f>
        <v>14016</v>
      </c>
      <c r="Y22" s="399"/>
      <c r="Z22" s="1100">
        <f>SUM(Z18:Z21)</f>
        <v>0</v>
      </c>
      <c r="AB22" s="612"/>
      <c r="AC22" s="808">
        <f t="shared" si="1"/>
        <v>10852.6</v>
      </c>
      <c r="AE22" s="245"/>
    </row>
    <row r="23" spans="1:31" ht="13.5" customHeight="1" thickTop="1" thickBot="1" x14ac:dyDescent="0.25">
      <c r="A23" s="583"/>
      <c r="B23" s="862" t="s">
        <v>136</v>
      </c>
      <c r="C23" s="1159" t="s">
        <v>41</v>
      </c>
      <c r="D23" s="1160"/>
      <c r="E23" s="1141" t="s">
        <v>42</v>
      </c>
      <c r="F23" s="1160"/>
      <c r="G23" s="1145" t="s">
        <v>132</v>
      </c>
      <c r="H23" s="1163"/>
      <c r="I23" s="1145" t="s">
        <v>133</v>
      </c>
      <c r="J23" s="1166"/>
      <c r="K23" s="1145" t="s">
        <v>134</v>
      </c>
      <c r="L23" s="1166"/>
      <c r="M23" s="1149" t="s">
        <v>135</v>
      </c>
      <c r="N23" s="1163"/>
      <c r="O23" s="1135" t="s">
        <v>166</v>
      </c>
      <c r="P23" s="1163"/>
      <c r="Q23" s="1135" t="s">
        <v>170</v>
      </c>
      <c r="R23" s="1163"/>
      <c r="S23" s="1135" t="s">
        <v>177</v>
      </c>
      <c r="T23" s="1163"/>
      <c r="U23" s="1135" t="s">
        <v>180</v>
      </c>
      <c r="V23" s="1163"/>
      <c r="W23" s="1135" t="s">
        <v>184</v>
      </c>
      <c r="X23" s="1163"/>
      <c r="Y23" s="1135" t="s">
        <v>188</v>
      </c>
      <c r="Z23" s="1163"/>
      <c r="AA23" s="672"/>
      <c r="AB23" s="1175"/>
      <c r="AC23" s="1176"/>
      <c r="AD23" s="438"/>
      <c r="AE23" s="438"/>
    </row>
    <row r="24" spans="1:31" ht="13.5" customHeight="1" x14ac:dyDescent="0.2">
      <c r="A24" s="583"/>
      <c r="B24" s="863" t="s">
        <v>119</v>
      </c>
      <c r="C24" s="1177">
        <v>0.17499999999999999</v>
      </c>
      <c r="D24" s="1178"/>
      <c r="E24" s="1158">
        <v>0.19097091046467699</v>
      </c>
      <c r="F24" s="1155"/>
      <c r="G24" s="1161">
        <v>0.20356824264049955</v>
      </c>
      <c r="H24" s="1162"/>
      <c r="I24" s="1161">
        <v>0.192</v>
      </c>
      <c r="J24" s="1162"/>
      <c r="K24" s="643"/>
      <c r="L24" s="640">
        <v>0.17899999999999999</v>
      </c>
      <c r="M24" s="646"/>
      <c r="N24" s="833">
        <v>0.18099999999999999</v>
      </c>
      <c r="O24" s="830"/>
      <c r="P24" s="833">
        <v>0.19700000000000001</v>
      </c>
      <c r="Q24" s="648"/>
      <c r="R24" s="833">
        <v>0.21299999999999999</v>
      </c>
      <c r="S24" s="648"/>
      <c r="T24" s="833">
        <v>0.219</v>
      </c>
      <c r="U24" s="648"/>
      <c r="V24" s="833">
        <v>0.19700000000000001</v>
      </c>
      <c r="W24" s="648"/>
      <c r="X24" s="833">
        <v>0.17899999999999999</v>
      </c>
      <c r="Y24" s="648"/>
      <c r="Z24" s="833">
        <v>0.17799999999999999</v>
      </c>
      <c r="AA24" s="916"/>
      <c r="AB24" s="648"/>
      <c r="AC24" s="670">
        <f t="shared" ref="AC24:AC26" si="2">AVERAGE(X24,V24,T24,R24,Z24)</f>
        <v>0.19719999999999999</v>
      </c>
      <c r="AD24" s="438"/>
      <c r="AE24" s="438"/>
    </row>
    <row r="25" spans="1:31" ht="13.5" customHeight="1" x14ac:dyDescent="0.2">
      <c r="A25" s="583"/>
      <c r="B25" s="864" t="s">
        <v>120</v>
      </c>
      <c r="C25" s="1154">
        <v>6.8000000000000005E-2</v>
      </c>
      <c r="D25" s="1155"/>
      <c r="E25" s="1156">
        <v>7.9523989421987157E-2</v>
      </c>
      <c r="F25" s="1157"/>
      <c r="G25" s="1172">
        <v>6.0838537020517398E-2</v>
      </c>
      <c r="H25" s="1173"/>
      <c r="I25" s="1172">
        <v>6.7000000000000004E-2</v>
      </c>
      <c r="J25" s="1173"/>
      <c r="K25" s="644"/>
      <c r="L25" s="641">
        <v>7.3999999999999996E-2</v>
      </c>
      <c r="M25" s="644"/>
      <c r="N25" s="834">
        <v>0.05</v>
      </c>
      <c r="O25" s="831"/>
      <c r="P25" s="834">
        <v>4.9000000000000002E-2</v>
      </c>
      <c r="Q25" s="649"/>
      <c r="R25" s="834">
        <v>8.1000000000000003E-2</v>
      </c>
      <c r="S25" s="649"/>
      <c r="T25" s="834">
        <v>6.5000000000000002E-2</v>
      </c>
      <c r="U25" s="649"/>
      <c r="V25" s="834">
        <v>7.2999999999999995E-2</v>
      </c>
      <c r="W25" s="649"/>
      <c r="X25" s="834">
        <v>4.7E-2</v>
      </c>
      <c r="Y25" s="649"/>
      <c r="Z25" s="834">
        <v>4.5999999999999999E-2</v>
      </c>
      <c r="AA25" s="916"/>
      <c r="AB25" s="649"/>
      <c r="AC25" s="670">
        <f t="shared" si="2"/>
        <v>6.2399999999999997E-2</v>
      </c>
      <c r="AD25" s="438" t="s">
        <v>26</v>
      </c>
      <c r="AE25" s="438"/>
    </row>
    <row r="26" spans="1:31" ht="13.5" customHeight="1" thickBot="1" x14ac:dyDescent="0.25">
      <c r="B26" s="865" t="s">
        <v>121</v>
      </c>
      <c r="C26" s="1167">
        <v>0.75800000000000001</v>
      </c>
      <c r="D26" s="1165"/>
      <c r="E26" s="1164">
        <v>0.7295051001133358</v>
      </c>
      <c r="F26" s="1165"/>
      <c r="G26" s="1164">
        <v>0.735593220338983</v>
      </c>
      <c r="H26" s="1174"/>
      <c r="I26" s="1164">
        <v>0.74099999999999999</v>
      </c>
      <c r="J26" s="1174"/>
      <c r="K26" s="645"/>
      <c r="L26" s="642">
        <v>0.747</v>
      </c>
      <c r="M26" s="645"/>
      <c r="N26" s="835">
        <v>0.76900000000000002</v>
      </c>
      <c r="O26" s="832"/>
      <c r="P26" s="835">
        <f>1-P25-P24</f>
        <v>0.754</v>
      </c>
      <c r="Q26" s="966"/>
      <c r="R26" s="835">
        <f>1-R24-R25</f>
        <v>0.70600000000000007</v>
      </c>
      <c r="S26" s="966"/>
      <c r="T26" s="835">
        <f>1-T24-T25</f>
        <v>0.71599999999999997</v>
      </c>
      <c r="U26" s="966"/>
      <c r="V26" s="835">
        <f>1-V24-V25</f>
        <v>0.73</v>
      </c>
      <c r="W26" s="966"/>
      <c r="X26" s="835">
        <f>1-X24-X25</f>
        <v>0.77399999999999991</v>
      </c>
      <c r="Y26" s="966"/>
      <c r="Z26" s="835">
        <f>1-Z24-Z25</f>
        <v>0.77600000000000002</v>
      </c>
      <c r="AA26" s="916"/>
      <c r="AB26" s="669"/>
      <c r="AC26" s="671">
        <f t="shared" si="2"/>
        <v>0.74039999999999995</v>
      </c>
      <c r="AD26" s="438"/>
      <c r="AE26" s="438"/>
    </row>
    <row r="27" spans="1:31" ht="15.75" thickTop="1" x14ac:dyDescent="0.2">
      <c r="B27" s="136"/>
      <c r="C27" s="92"/>
      <c r="D27" s="625"/>
      <c r="E27" s="103"/>
      <c r="F27" s="104"/>
      <c r="G27" s="251"/>
      <c r="H27" s="252"/>
      <c r="I27" s="251"/>
      <c r="J27" s="252"/>
      <c r="K27" s="251"/>
      <c r="L27" s="252"/>
      <c r="M27" s="251"/>
      <c r="N27" s="252"/>
      <c r="O27" s="251"/>
      <c r="P27" s="252"/>
      <c r="Q27" s="251"/>
      <c r="R27" s="252"/>
      <c r="S27" s="251"/>
      <c r="T27" s="252"/>
      <c r="U27" s="251"/>
      <c r="V27" s="252"/>
      <c r="W27" s="251"/>
      <c r="X27" s="252"/>
      <c r="Y27" s="251"/>
      <c r="Z27" s="252"/>
      <c r="AC27" s="605"/>
      <c r="AE27" s="245"/>
    </row>
    <row r="28" spans="1:31" x14ac:dyDescent="0.2">
      <c r="A28" s="105" t="s">
        <v>51</v>
      </c>
      <c r="B28" s="92"/>
      <c r="C28" s="59"/>
      <c r="D28" s="59"/>
      <c r="E28" s="59"/>
      <c r="F28" s="59"/>
      <c r="G28" s="253"/>
      <c r="H28" s="253"/>
      <c r="I28" s="253"/>
      <c r="J28" s="253"/>
      <c r="K28" s="253"/>
      <c r="L28" s="253"/>
      <c r="M28" s="253"/>
      <c r="N28" s="253"/>
      <c r="O28" s="253"/>
      <c r="P28" s="253"/>
      <c r="Q28" s="253"/>
      <c r="R28" s="253"/>
      <c r="S28" s="253"/>
      <c r="T28" s="253"/>
      <c r="U28" s="253"/>
      <c r="V28" s="253"/>
      <c r="W28" s="253"/>
      <c r="X28" s="253"/>
      <c r="Y28" s="253"/>
      <c r="Z28" s="253"/>
      <c r="AC28" s="59"/>
    </row>
    <row r="29" spans="1:31" ht="13.5" thickBot="1" x14ac:dyDescent="0.25">
      <c r="A29" s="105"/>
      <c r="B29" s="92"/>
      <c r="C29" s="59"/>
      <c r="D29" s="59"/>
      <c r="E29" s="59"/>
      <c r="F29" s="59"/>
      <c r="G29" s="253"/>
      <c r="H29" s="253"/>
      <c r="I29" s="253"/>
      <c r="J29" s="253"/>
      <c r="K29" s="253"/>
      <c r="L29" s="253"/>
      <c r="M29" s="253"/>
      <c r="N29" s="253"/>
      <c r="O29" s="253"/>
      <c r="P29" s="253"/>
      <c r="Q29" s="253"/>
      <c r="R29" s="253"/>
      <c r="S29" s="253"/>
      <c r="T29" s="253"/>
      <c r="U29" s="253"/>
      <c r="V29" s="253"/>
      <c r="W29" s="253"/>
      <c r="X29" s="253"/>
      <c r="Y29" s="253"/>
      <c r="Z29" s="253"/>
      <c r="AB29" s="12"/>
      <c r="AC29" s="12"/>
    </row>
    <row r="30" spans="1:31" ht="14.25" thickTop="1" thickBot="1" x14ac:dyDescent="0.25">
      <c r="A30" s="3"/>
      <c r="B30" s="867" t="s">
        <v>52</v>
      </c>
      <c r="C30" s="1151" t="s">
        <v>39</v>
      </c>
      <c r="D30" s="1152"/>
      <c r="E30" s="1153" t="s">
        <v>40</v>
      </c>
      <c r="F30" s="1153"/>
      <c r="G30" s="1150" t="s">
        <v>97</v>
      </c>
      <c r="H30" s="1134"/>
      <c r="I30" s="1133" t="s">
        <v>108</v>
      </c>
      <c r="J30" s="1133"/>
      <c r="K30" s="1150" t="s">
        <v>109</v>
      </c>
      <c r="L30" s="1133"/>
      <c r="M30" s="1150" t="s">
        <v>111</v>
      </c>
      <c r="N30" s="1134"/>
      <c r="O30" s="1133" t="s">
        <v>164</v>
      </c>
      <c r="P30" s="1134"/>
      <c r="Q30" s="1133" t="s">
        <v>169</v>
      </c>
      <c r="R30" s="1134"/>
      <c r="S30" s="1133" t="s">
        <v>176</v>
      </c>
      <c r="T30" s="1134"/>
      <c r="U30" s="1133" t="s">
        <v>179</v>
      </c>
      <c r="V30" s="1134"/>
      <c r="W30" s="1133" t="s">
        <v>183</v>
      </c>
      <c r="X30" s="1134"/>
      <c r="Y30" s="1133" t="s">
        <v>187</v>
      </c>
      <c r="Z30" s="1134"/>
      <c r="AA30" s="583"/>
      <c r="AB30" s="1197" t="s">
        <v>118</v>
      </c>
      <c r="AC30" s="1198"/>
    </row>
    <row r="31" spans="1:31" x14ac:dyDescent="0.2">
      <c r="A31" s="3"/>
      <c r="B31" s="868" t="s">
        <v>53</v>
      </c>
      <c r="C31" s="151"/>
      <c r="D31" s="152"/>
      <c r="E31" s="34"/>
      <c r="F31" s="34"/>
      <c r="G31" s="281"/>
      <c r="H31" s="361"/>
      <c r="I31" s="254"/>
      <c r="J31" s="254"/>
      <c r="K31" s="281"/>
      <c r="L31" s="254"/>
      <c r="M31" s="281"/>
      <c r="N31" s="361"/>
      <c r="O31" s="254"/>
      <c r="P31" s="361"/>
      <c r="Q31" s="254"/>
      <c r="R31" s="361"/>
      <c r="S31" s="254"/>
      <c r="T31" s="361"/>
      <c r="U31" s="254"/>
      <c r="V31" s="361"/>
      <c r="W31" s="254"/>
      <c r="X31" s="361"/>
      <c r="Y31" s="254"/>
      <c r="Z31" s="361"/>
      <c r="AA31" s="583"/>
      <c r="AB31" s="675"/>
      <c r="AC31" s="697"/>
    </row>
    <row r="32" spans="1:31" x14ac:dyDescent="0.2">
      <c r="A32" s="3"/>
      <c r="B32" s="869" t="s">
        <v>54</v>
      </c>
      <c r="C32" s="149"/>
      <c r="D32" s="213">
        <v>1229098</v>
      </c>
      <c r="E32" s="33"/>
      <c r="F32" s="220">
        <v>1381164</v>
      </c>
      <c r="G32" s="280"/>
      <c r="H32" s="371">
        <v>1415346</v>
      </c>
      <c r="I32" s="358"/>
      <c r="J32" s="439">
        <v>1503381</v>
      </c>
      <c r="K32" s="280"/>
      <c r="L32" s="439">
        <v>1665496</v>
      </c>
      <c r="M32" s="280"/>
      <c r="N32" s="371">
        <v>1743143</v>
      </c>
      <c r="O32" s="358"/>
      <c r="P32" s="371">
        <v>1740022</v>
      </c>
      <c r="Q32" s="358"/>
      <c r="R32" s="371">
        <v>1792625</v>
      </c>
      <c r="S32" s="358"/>
      <c r="T32" s="371">
        <v>1941213</v>
      </c>
      <c r="U32" s="358"/>
      <c r="V32" s="371">
        <v>2054793</v>
      </c>
      <c r="W32" s="358"/>
      <c r="X32" s="371">
        <v>2111938</v>
      </c>
      <c r="Y32" s="358"/>
      <c r="Z32" s="371">
        <v>2194768</v>
      </c>
      <c r="AA32" s="583"/>
      <c r="AB32" s="677"/>
      <c r="AC32" s="681">
        <f>AVERAGE(X32,V32,T32,R32,Z32)</f>
        <v>2019067.4</v>
      </c>
    </row>
    <row r="33" spans="1:29" hidden="1" x14ac:dyDescent="0.2">
      <c r="A33" s="3"/>
      <c r="B33" s="869" t="s">
        <v>55</v>
      </c>
      <c r="C33" s="151"/>
      <c r="D33" s="214"/>
      <c r="E33" s="34"/>
      <c r="F33" s="221"/>
      <c r="G33" s="281"/>
      <c r="H33" s="372"/>
      <c r="I33" s="254"/>
      <c r="J33" s="440"/>
      <c r="K33" s="281"/>
      <c r="L33" s="440"/>
      <c r="M33" s="281"/>
      <c r="N33" s="372"/>
      <c r="O33" s="254"/>
      <c r="P33" s="372"/>
      <c r="Q33" s="254"/>
      <c r="R33" s="372"/>
      <c r="S33" s="254"/>
      <c r="T33" s="372"/>
      <c r="U33" s="254"/>
      <c r="V33" s="372"/>
      <c r="W33" s="254"/>
      <c r="X33" s="372"/>
      <c r="Y33" s="254"/>
      <c r="Z33" s="372"/>
      <c r="AA33" s="583"/>
      <c r="AC33" s="678"/>
    </row>
    <row r="34" spans="1:29" ht="36" x14ac:dyDescent="0.2">
      <c r="A34" s="3"/>
      <c r="B34" s="870" t="s">
        <v>65</v>
      </c>
      <c r="C34" s="151"/>
      <c r="D34" s="214">
        <v>0</v>
      </c>
      <c r="E34" s="34"/>
      <c r="F34" s="221">
        <v>0</v>
      </c>
      <c r="G34" s="281"/>
      <c r="H34" s="372">
        <v>0</v>
      </c>
      <c r="I34" s="254"/>
      <c r="J34" s="440">
        <v>58324</v>
      </c>
      <c r="K34" s="281"/>
      <c r="L34" s="440">
        <v>0</v>
      </c>
      <c r="M34" s="281"/>
      <c r="N34" s="372">
        <v>16682</v>
      </c>
      <c r="O34" s="254"/>
      <c r="P34" s="372">
        <v>16877</v>
      </c>
      <c r="Q34" s="254"/>
      <c r="R34" s="372"/>
      <c r="S34" s="254"/>
      <c r="T34" s="372">
        <v>33348</v>
      </c>
      <c r="U34" s="254"/>
      <c r="V34" s="372"/>
      <c r="W34" s="254"/>
      <c r="X34" s="372">
        <v>283109</v>
      </c>
      <c r="Y34" s="254"/>
      <c r="Z34" s="372">
        <v>295022</v>
      </c>
      <c r="AA34" s="583"/>
      <c r="AB34" s="675"/>
      <c r="AC34" s="682">
        <f t="shared" ref="AC34:AC35" si="3">AVERAGE(X34,V34,T34,R34,Z34)</f>
        <v>203826.33333333334</v>
      </c>
    </row>
    <row r="35" spans="1:29" x14ac:dyDescent="0.2">
      <c r="A35" s="3"/>
      <c r="B35" s="871" t="s">
        <v>56</v>
      </c>
      <c r="C35" s="215"/>
      <c r="D35" s="216">
        <f>SUM(D32:D34)</f>
        <v>1229098</v>
      </c>
      <c r="E35" s="106"/>
      <c r="F35" s="222">
        <f>SUM(F32:F34)</f>
        <v>1381164</v>
      </c>
      <c r="G35" s="284"/>
      <c r="H35" s="373">
        <f>SUM(H32:H34)</f>
        <v>1415346</v>
      </c>
      <c r="I35" s="365"/>
      <c r="J35" s="441">
        <f>SUM(J32:J34)</f>
        <v>1561705</v>
      </c>
      <c r="K35" s="284"/>
      <c r="L35" s="441">
        <f>SUM(L32:L34)</f>
        <v>1665496</v>
      </c>
      <c r="M35" s="284"/>
      <c r="N35" s="373">
        <f>SUM(N32:N34)</f>
        <v>1759825</v>
      </c>
      <c r="O35" s="365"/>
      <c r="P35" s="373">
        <f>SUM(P32:P34)</f>
        <v>1756899</v>
      </c>
      <c r="Q35" s="365"/>
      <c r="R35" s="373">
        <f>SUM(R32:R34)</f>
        <v>1792625</v>
      </c>
      <c r="S35" s="365"/>
      <c r="T35" s="373">
        <f>SUM(T32:T34)</f>
        <v>1974561</v>
      </c>
      <c r="U35" s="365"/>
      <c r="V35" s="373">
        <f>SUM(V32:V34)</f>
        <v>2054793</v>
      </c>
      <c r="W35" s="365"/>
      <c r="X35" s="373">
        <f>SUM(X32:X34)</f>
        <v>2395047</v>
      </c>
      <c r="Y35" s="365"/>
      <c r="Z35" s="373">
        <f>SUM(Z32:Z34)</f>
        <v>2489790</v>
      </c>
      <c r="AA35" s="583"/>
      <c r="AB35" s="677"/>
      <c r="AC35" s="681">
        <f t="shared" si="3"/>
        <v>2141363.2000000002</v>
      </c>
    </row>
    <row r="36" spans="1:29" x14ac:dyDescent="0.2">
      <c r="A36" s="3"/>
      <c r="B36" s="868" t="s">
        <v>57</v>
      </c>
      <c r="C36" s="151"/>
      <c r="D36" s="214"/>
      <c r="E36" s="34"/>
      <c r="F36" s="221"/>
      <c r="G36" s="281"/>
      <c r="H36" s="372"/>
      <c r="I36" s="254"/>
      <c r="J36" s="440"/>
      <c r="K36" s="281"/>
      <c r="L36" s="440"/>
      <c r="M36" s="281"/>
      <c r="N36" s="372"/>
      <c r="O36" s="254"/>
      <c r="P36" s="372"/>
      <c r="Q36" s="254"/>
      <c r="R36" s="372"/>
      <c r="S36" s="254"/>
      <c r="T36" s="372"/>
      <c r="U36" s="254"/>
      <c r="V36" s="372"/>
      <c r="W36" s="254"/>
      <c r="X36" s="372"/>
      <c r="Y36" s="254"/>
      <c r="Z36" s="372"/>
      <c r="AA36" s="583"/>
      <c r="AC36" s="678"/>
    </row>
    <row r="37" spans="1:29" x14ac:dyDescent="0.2">
      <c r="A37" s="3"/>
      <c r="B37" s="869" t="s">
        <v>54</v>
      </c>
      <c r="C37" s="151"/>
      <c r="D37" s="214"/>
      <c r="E37" s="34"/>
      <c r="F37" s="221"/>
      <c r="G37" s="281"/>
      <c r="H37" s="372"/>
      <c r="I37" s="254"/>
      <c r="J37" s="440"/>
      <c r="K37" s="281"/>
      <c r="L37" s="440"/>
      <c r="M37" s="281"/>
      <c r="N37" s="372"/>
      <c r="O37" s="254"/>
      <c r="P37" s="372"/>
      <c r="Q37" s="254"/>
      <c r="R37" s="372"/>
      <c r="S37" s="254"/>
      <c r="T37" s="372"/>
      <c r="U37" s="254"/>
      <c r="V37" s="372"/>
      <c r="W37" s="254"/>
      <c r="X37" s="372"/>
      <c r="Y37" s="254"/>
      <c r="Z37" s="372"/>
      <c r="AA37" s="583"/>
      <c r="AC37" s="678"/>
    </row>
    <row r="38" spans="1:29" hidden="1" x14ac:dyDescent="0.2">
      <c r="A38" s="3"/>
      <c r="B38" s="869" t="s">
        <v>58</v>
      </c>
      <c r="C38" s="151"/>
      <c r="D38" s="214"/>
      <c r="E38" s="34"/>
      <c r="F38" s="221"/>
      <c r="G38" s="281"/>
      <c r="H38" s="372"/>
      <c r="I38" s="254"/>
      <c r="J38" s="440"/>
      <c r="K38" s="281"/>
      <c r="L38" s="440"/>
      <c r="M38" s="281"/>
      <c r="N38" s="372"/>
      <c r="O38" s="254"/>
      <c r="P38" s="372"/>
      <c r="Q38" s="254"/>
      <c r="R38" s="372"/>
      <c r="S38" s="254"/>
      <c r="T38" s="372"/>
      <c r="U38" s="254"/>
      <c r="V38" s="372"/>
      <c r="W38" s="254"/>
      <c r="X38" s="372"/>
      <c r="Y38" s="254"/>
      <c r="Z38" s="372"/>
      <c r="AA38" s="583"/>
      <c r="AC38" s="678"/>
    </row>
    <row r="39" spans="1:29" ht="36" x14ac:dyDescent="0.2">
      <c r="A39" s="3"/>
      <c r="B39" s="870" t="s">
        <v>65</v>
      </c>
      <c r="C39" s="151"/>
      <c r="D39" s="214"/>
      <c r="E39" s="34"/>
      <c r="F39" s="221"/>
      <c r="G39" s="281"/>
      <c r="H39" s="372"/>
      <c r="I39" s="254"/>
      <c r="J39" s="440"/>
      <c r="K39" s="281"/>
      <c r="L39" s="440"/>
      <c r="M39" s="281"/>
      <c r="N39" s="372"/>
      <c r="O39" s="254"/>
      <c r="P39" s="372"/>
      <c r="Q39" s="254"/>
      <c r="R39" s="372"/>
      <c r="S39" s="254"/>
      <c r="T39" s="372"/>
      <c r="U39" s="254"/>
      <c r="V39" s="372"/>
      <c r="W39" s="254"/>
      <c r="X39" s="372"/>
      <c r="Y39" s="254"/>
      <c r="Z39" s="372"/>
      <c r="AA39" s="583"/>
      <c r="AB39" s="675"/>
      <c r="AC39" s="682"/>
    </row>
    <row r="40" spans="1:29" x14ac:dyDescent="0.2">
      <c r="A40" s="3"/>
      <c r="B40" s="871" t="s">
        <v>59</v>
      </c>
      <c r="C40" s="215"/>
      <c r="D40" s="216">
        <f>SUM(D37:D39)</f>
        <v>0</v>
      </c>
      <c r="E40" s="106"/>
      <c r="F40" s="222">
        <f>SUM(F37:F39)</f>
        <v>0</v>
      </c>
      <c r="G40" s="284"/>
      <c r="H40" s="373">
        <f>SUM(H37:H39)</f>
        <v>0</v>
      </c>
      <c r="I40" s="365"/>
      <c r="J40" s="441">
        <f>SUM(J37:J39)</f>
        <v>0</v>
      </c>
      <c r="K40" s="284"/>
      <c r="L40" s="441">
        <f>SUM(L37:L39)</f>
        <v>0</v>
      </c>
      <c r="M40" s="284"/>
      <c r="N40" s="373">
        <f>SUM(N37:N39)</f>
        <v>0</v>
      </c>
      <c r="O40" s="365"/>
      <c r="P40" s="373">
        <f>SUM(P37:P39)</f>
        <v>0</v>
      </c>
      <c r="Q40" s="365"/>
      <c r="R40" s="373">
        <f>SUM(R37:R39)</f>
        <v>0</v>
      </c>
      <c r="S40" s="365"/>
      <c r="T40" s="373">
        <f>SUM(T37:T39)</f>
        <v>0</v>
      </c>
      <c r="U40" s="365"/>
      <c r="V40" s="373">
        <f>SUM(V37:V39)</f>
        <v>0</v>
      </c>
      <c r="W40" s="365"/>
      <c r="X40" s="373">
        <f>SUM(X37:X39)</f>
        <v>0</v>
      </c>
      <c r="Y40" s="365"/>
      <c r="Z40" s="373">
        <f>SUM(Z37:Z39)</f>
        <v>0</v>
      </c>
      <c r="AA40" s="583"/>
      <c r="AB40" s="677"/>
      <c r="AC40" s="681">
        <f>AVERAGE(N40,L40,T40,R40,P40)</f>
        <v>0</v>
      </c>
    </row>
    <row r="41" spans="1:29" ht="13.5" thickBot="1" x14ac:dyDescent="0.25">
      <c r="A41" s="3"/>
      <c r="B41" s="872" t="s">
        <v>60</v>
      </c>
      <c r="C41" s="151"/>
      <c r="D41" s="216">
        <f>SUM(D35,D40)</f>
        <v>1229098</v>
      </c>
      <c r="E41" s="34"/>
      <c r="F41" s="222">
        <f>SUM(F35,F40)</f>
        <v>1381164</v>
      </c>
      <c r="G41" s="281"/>
      <c r="H41" s="373">
        <f>SUM(H35,H40)</f>
        <v>1415346</v>
      </c>
      <c r="I41" s="254"/>
      <c r="J41" s="441">
        <f>SUM(J35,J40)</f>
        <v>1561705</v>
      </c>
      <c r="K41" s="281"/>
      <c r="L41" s="441">
        <f>SUM(L35,L40)</f>
        <v>1665496</v>
      </c>
      <c r="M41" s="281"/>
      <c r="N41" s="373">
        <f>SUM(N35,N40)</f>
        <v>1759825</v>
      </c>
      <c r="O41" s="254"/>
      <c r="P41" s="373">
        <f>SUM(P35,P40)</f>
        <v>1756899</v>
      </c>
      <c r="Q41" s="254"/>
      <c r="R41" s="373">
        <f>SUM(R35,R40)</f>
        <v>1792625</v>
      </c>
      <c r="S41" s="254"/>
      <c r="T41" s="373">
        <f>SUM(T35,T40)</f>
        <v>1974561</v>
      </c>
      <c r="U41" s="254"/>
      <c r="V41" s="373">
        <f>SUM(V35,V40)</f>
        <v>2054793</v>
      </c>
      <c r="W41" s="254"/>
      <c r="X41" s="373">
        <f>SUM(X35,X40)</f>
        <v>2395047</v>
      </c>
      <c r="Y41" s="254"/>
      <c r="Z41" s="373">
        <f>SUM(Z35,Z40)</f>
        <v>2489790</v>
      </c>
      <c r="AA41" s="583"/>
      <c r="AB41" s="679"/>
      <c r="AC41" s="680">
        <f>AVERAGE(X41,V41,T41,R41,Z41)</f>
        <v>2141363.2000000002</v>
      </c>
    </row>
    <row r="42" spans="1:29" ht="12" x14ac:dyDescent="0.2">
      <c r="B42" s="873" t="s">
        <v>173</v>
      </c>
      <c r="C42" s="218"/>
      <c r="D42" s="219"/>
      <c r="E42" s="109"/>
      <c r="F42" s="109"/>
      <c r="G42" s="285"/>
      <c r="H42" s="374"/>
      <c r="I42" s="366"/>
      <c r="J42" s="366"/>
      <c r="K42" s="285"/>
      <c r="L42" s="366"/>
      <c r="M42" s="285"/>
      <c r="N42" s="374"/>
      <c r="O42" s="366"/>
      <c r="P42" s="374"/>
      <c r="Q42" s="366"/>
      <c r="R42" s="374"/>
      <c r="S42" s="366"/>
      <c r="T42" s="374"/>
      <c r="U42" s="366"/>
      <c r="V42" s="374"/>
      <c r="W42" s="366"/>
      <c r="X42" s="374"/>
      <c r="Y42" s="366"/>
      <c r="Z42" s="374"/>
      <c r="AA42" s="583"/>
      <c r="AB42" s="683"/>
      <c r="AC42" s="684"/>
    </row>
    <row r="43" spans="1:29" ht="12" x14ac:dyDescent="0.2">
      <c r="B43" s="49" t="s">
        <v>13</v>
      </c>
      <c r="C43" s="151"/>
      <c r="D43" s="191">
        <f>227798+1116094</f>
        <v>1343892</v>
      </c>
      <c r="E43" s="34"/>
      <c r="F43" s="259">
        <v>1556487</v>
      </c>
      <c r="G43" s="281"/>
      <c r="H43" s="423">
        <v>1687146.21</v>
      </c>
      <c r="I43" s="254"/>
      <c r="J43" s="343">
        <v>1631567.19</v>
      </c>
      <c r="K43" s="281"/>
      <c r="L43" s="343">
        <f>1633947+182992+1006</f>
        <v>1817945</v>
      </c>
      <c r="M43" s="281"/>
      <c r="N43" s="423">
        <v>1987975</v>
      </c>
      <c r="O43" s="254"/>
      <c r="P43" s="423">
        <v>1970138</v>
      </c>
      <c r="Q43" s="411"/>
      <c r="R43" s="423">
        <v>2130084</v>
      </c>
      <c r="S43" s="411"/>
      <c r="T43" s="423">
        <v>2421502</v>
      </c>
      <c r="U43" s="411"/>
      <c r="V43" s="423">
        <v>2305234</v>
      </c>
      <c r="W43" s="411"/>
      <c r="X43" s="423">
        <v>2619381.96</v>
      </c>
      <c r="Y43" s="411"/>
      <c r="Z43" s="921"/>
      <c r="AA43" s="583"/>
      <c r="AB43" s="677"/>
      <c r="AC43" s="685">
        <f>AVERAGE(X43,V43,T43,R43,P43)</f>
        <v>2289267.9920000001</v>
      </c>
    </row>
    <row r="44" spans="1:29" thickBot="1" x14ac:dyDescent="0.25">
      <c r="B44" s="877" t="s">
        <v>14</v>
      </c>
      <c r="C44" s="223"/>
      <c r="D44" s="224">
        <v>0</v>
      </c>
      <c r="E44" s="90"/>
      <c r="F44" s="780">
        <v>0</v>
      </c>
      <c r="G44" s="316"/>
      <c r="H44" s="781">
        <v>0</v>
      </c>
      <c r="I44" s="395"/>
      <c r="J44" s="344">
        <v>0</v>
      </c>
      <c r="K44" s="316"/>
      <c r="L44" s="344">
        <v>0</v>
      </c>
      <c r="M44" s="316"/>
      <c r="N44" s="781">
        <v>0</v>
      </c>
      <c r="O44" s="395"/>
      <c r="P44" s="781">
        <v>0</v>
      </c>
      <c r="Q44" s="969"/>
      <c r="R44" s="781">
        <v>0</v>
      </c>
      <c r="S44" s="969"/>
      <c r="T44" s="781">
        <v>0</v>
      </c>
      <c r="U44" s="969"/>
      <c r="V44" s="781">
        <v>0</v>
      </c>
      <c r="W44" s="969"/>
      <c r="X44" s="781">
        <v>0</v>
      </c>
      <c r="Y44" s="969"/>
      <c r="Z44" s="922"/>
      <c r="AA44" s="583"/>
      <c r="AB44" s="679"/>
      <c r="AC44" s="777">
        <f>AVERAGE(X44,V44,T44,R44,P44)</f>
        <v>0</v>
      </c>
    </row>
    <row r="45" spans="1:29" ht="12" x14ac:dyDescent="0.2">
      <c r="B45" s="879"/>
      <c r="C45" s="169" t="s">
        <v>89</v>
      </c>
      <c r="D45" s="170" t="s">
        <v>96</v>
      </c>
      <c r="E45" s="95" t="s">
        <v>89</v>
      </c>
      <c r="F45" s="183" t="s">
        <v>96</v>
      </c>
      <c r="G45" s="288" t="s">
        <v>89</v>
      </c>
      <c r="H45" s="375" t="s">
        <v>96</v>
      </c>
      <c r="I45" s="255" t="s">
        <v>89</v>
      </c>
      <c r="J45" s="412" t="s">
        <v>96</v>
      </c>
      <c r="K45" s="288" t="s">
        <v>89</v>
      </c>
      <c r="L45" s="412" t="s">
        <v>96</v>
      </c>
      <c r="M45" s="288" t="s">
        <v>89</v>
      </c>
      <c r="N45" s="375" t="s">
        <v>96</v>
      </c>
      <c r="O45" s="255" t="s">
        <v>89</v>
      </c>
      <c r="P45" s="375" t="s">
        <v>96</v>
      </c>
      <c r="Q45" s="255" t="s">
        <v>89</v>
      </c>
      <c r="R45" s="375" t="s">
        <v>96</v>
      </c>
      <c r="S45" s="255" t="s">
        <v>89</v>
      </c>
      <c r="T45" s="375" t="s">
        <v>96</v>
      </c>
      <c r="U45" s="255" t="s">
        <v>89</v>
      </c>
      <c r="V45" s="375" t="s">
        <v>96</v>
      </c>
      <c r="W45" s="255" t="s">
        <v>89</v>
      </c>
      <c r="X45" s="375" t="s">
        <v>96</v>
      </c>
      <c r="Y45" s="255" t="s">
        <v>89</v>
      </c>
      <c r="Z45" s="375" t="s">
        <v>96</v>
      </c>
      <c r="AA45" s="583"/>
      <c r="AB45" s="288" t="s">
        <v>89</v>
      </c>
      <c r="AC45" s="256" t="s">
        <v>96</v>
      </c>
    </row>
    <row r="46" spans="1:29" ht="11.45" customHeight="1" x14ac:dyDescent="0.2">
      <c r="B46" s="52" t="s">
        <v>47</v>
      </c>
      <c r="C46" s="698">
        <v>0</v>
      </c>
      <c r="D46" s="699">
        <v>0</v>
      </c>
      <c r="E46" s="100">
        <v>0</v>
      </c>
      <c r="F46" s="700">
        <v>0</v>
      </c>
      <c r="G46" s="701">
        <v>1</v>
      </c>
      <c r="H46" s="702">
        <v>6723</v>
      </c>
      <c r="I46" s="703">
        <v>0</v>
      </c>
      <c r="J46" s="704">
        <v>0</v>
      </c>
      <c r="K46" s="701">
        <v>0</v>
      </c>
      <c r="L46" s="703">
        <v>0</v>
      </c>
      <c r="M46" s="701">
        <v>0</v>
      </c>
      <c r="N46" s="836">
        <v>0</v>
      </c>
      <c r="O46" s="701">
        <v>0</v>
      </c>
      <c r="P46" s="836">
        <v>0</v>
      </c>
      <c r="Q46" s="701">
        <v>0</v>
      </c>
      <c r="R46" s="836">
        <v>0</v>
      </c>
      <c r="S46" s="701">
        <v>0</v>
      </c>
      <c r="T46" s="836">
        <v>0</v>
      </c>
      <c r="U46" s="100">
        <v>0</v>
      </c>
      <c r="V46" s="699">
        <v>0</v>
      </c>
      <c r="W46" s="100">
        <v>0</v>
      </c>
      <c r="X46" s="699">
        <v>0</v>
      </c>
      <c r="Y46" s="827"/>
      <c r="Z46" s="923"/>
      <c r="AA46" s="583"/>
      <c r="AB46" s="723">
        <f t="shared" ref="AB46:AC46" si="4">AVERAGE(W46,U46,S46,Q46,Y46)</f>
        <v>0</v>
      </c>
      <c r="AC46" s="724">
        <f t="shared" si="4"/>
        <v>0</v>
      </c>
    </row>
    <row r="47" spans="1:29" ht="11.45" customHeight="1" x14ac:dyDescent="0.2">
      <c r="B47" s="52"/>
      <c r="C47" s="705"/>
      <c r="D47" s="706"/>
      <c r="E47" s="707"/>
      <c r="F47" s="708"/>
      <c r="G47" s="709"/>
      <c r="H47" s="710"/>
      <c r="I47" s="711"/>
      <c r="J47" s="712"/>
      <c r="K47" s="709"/>
      <c r="L47" s="713"/>
      <c r="M47" s="709"/>
      <c r="N47" s="837"/>
      <c r="O47" s="709"/>
      <c r="P47" s="837"/>
      <c r="Q47" s="709"/>
      <c r="R47" s="837"/>
      <c r="S47" s="709"/>
      <c r="T47" s="837"/>
      <c r="U47" s="61"/>
      <c r="V47" s="1108"/>
      <c r="W47" s="61"/>
      <c r="X47" s="1108"/>
      <c r="Y47" s="828"/>
      <c r="Z47" s="577"/>
      <c r="AA47" s="59"/>
      <c r="AB47" s="725"/>
      <c r="AC47" s="726"/>
    </row>
    <row r="48" spans="1:29" thickBot="1" x14ac:dyDescent="0.25">
      <c r="B48" s="880" t="s">
        <v>15</v>
      </c>
      <c r="C48" s="714">
        <v>0</v>
      </c>
      <c r="D48" s="715">
        <v>0</v>
      </c>
      <c r="E48" s="716">
        <v>0</v>
      </c>
      <c r="F48" s="717">
        <v>0</v>
      </c>
      <c r="G48" s="718">
        <v>1</v>
      </c>
      <c r="H48" s="719">
        <v>75000</v>
      </c>
      <c r="I48" s="720">
        <v>2</v>
      </c>
      <c r="J48" s="721">
        <v>6723</v>
      </c>
      <c r="K48" s="718">
        <v>0</v>
      </c>
      <c r="L48" s="722">
        <v>0</v>
      </c>
      <c r="M48" s="718">
        <v>0</v>
      </c>
      <c r="N48" s="815">
        <v>0</v>
      </c>
      <c r="O48" s="718">
        <v>0</v>
      </c>
      <c r="P48" s="815">
        <v>0</v>
      </c>
      <c r="Q48" s="718">
        <v>0</v>
      </c>
      <c r="R48" s="815">
        <v>0</v>
      </c>
      <c r="S48" s="718">
        <v>0</v>
      </c>
      <c r="T48" s="815">
        <v>0</v>
      </c>
      <c r="U48" s="716">
        <v>1</v>
      </c>
      <c r="V48" s="1109">
        <v>41416</v>
      </c>
      <c r="W48" s="716">
        <v>0</v>
      </c>
      <c r="X48" s="1109">
        <v>0</v>
      </c>
      <c r="Y48" s="829"/>
      <c r="Z48" s="926"/>
      <c r="AA48" s="583"/>
      <c r="AB48" s="727">
        <f t="shared" ref="AB48:AC48" si="5">AVERAGE(W48,U48,S48,Q48,Y48)</f>
        <v>0.25</v>
      </c>
      <c r="AC48" s="728">
        <f t="shared" si="5"/>
        <v>10354</v>
      </c>
    </row>
    <row r="49" spans="1:29" ht="12" x14ac:dyDescent="0.2">
      <c r="B49" s="873" t="s">
        <v>66</v>
      </c>
      <c r="C49" s="175"/>
      <c r="D49" s="186"/>
      <c r="E49" s="114"/>
      <c r="F49" s="283"/>
      <c r="G49" s="289"/>
      <c r="H49" s="376"/>
      <c r="I49" s="368"/>
      <c r="J49" s="433"/>
      <c r="K49" s="289"/>
      <c r="L49" s="433"/>
      <c r="M49" s="289"/>
      <c r="N49" s="376"/>
      <c r="O49" s="368"/>
      <c r="P49" s="376"/>
      <c r="Q49" s="368"/>
      <c r="R49" s="376"/>
      <c r="S49" s="368"/>
      <c r="T49" s="376"/>
      <c r="U49" s="368"/>
      <c r="V49" s="376"/>
      <c r="W49" s="368"/>
      <c r="X49" s="376"/>
      <c r="Y49" s="368"/>
      <c r="Z49" s="376"/>
      <c r="AA49" s="583"/>
      <c r="AC49" s="583"/>
    </row>
    <row r="50" spans="1:29" ht="12" x14ac:dyDescent="0.2">
      <c r="B50" s="881" t="s">
        <v>67</v>
      </c>
      <c r="C50" s="177"/>
      <c r="D50" s="187"/>
      <c r="E50" s="39"/>
      <c r="F50" s="61"/>
      <c r="G50" s="290"/>
      <c r="H50" s="377"/>
      <c r="I50" s="257"/>
      <c r="J50" s="250"/>
      <c r="K50" s="290"/>
      <c r="L50" s="250"/>
      <c r="M50" s="290"/>
      <c r="N50" s="377"/>
      <c r="O50" s="257"/>
      <c r="P50" s="377"/>
      <c r="Q50" s="257"/>
      <c r="R50" s="377"/>
      <c r="S50" s="257"/>
      <c r="T50" s="377"/>
      <c r="U50" s="257"/>
      <c r="V50" s="377"/>
      <c r="W50" s="257"/>
      <c r="X50" s="377"/>
      <c r="Y50" s="257"/>
      <c r="Z50" s="377"/>
      <c r="AA50" s="583"/>
      <c r="AC50" s="583"/>
    </row>
    <row r="51" spans="1:29" ht="12" x14ac:dyDescent="0.2">
      <c r="B51" s="894" t="s">
        <v>68</v>
      </c>
      <c r="C51" s="178"/>
      <c r="D51" s="188">
        <v>146520.56</v>
      </c>
      <c r="E51" s="37"/>
      <c r="F51" s="466">
        <v>200812.51</v>
      </c>
      <c r="G51" s="291"/>
      <c r="H51" s="485">
        <v>244327</v>
      </c>
      <c r="I51" s="291"/>
      <c r="J51" s="503">
        <v>224927.95</v>
      </c>
      <c r="K51" s="500"/>
      <c r="L51" s="560">
        <v>1083208</v>
      </c>
      <c r="M51" s="500"/>
      <c r="N51" s="503">
        <v>422091</v>
      </c>
      <c r="O51" s="813"/>
      <c r="P51" s="503">
        <v>327227</v>
      </c>
      <c r="Q51" s="813"/>
      <c r="R51" s="503">
        <v>355221.55</v>
      </c>
      <c r="S51" s="813"/>
      <c r="T51" s="503">
        <v>329471.46000000002</v>
      </c>
      <c r="U51" s="813"/>
      <c r="V51" s="503">
        <v>315611.27</v>
      </c>
      <c r="W51" s="813"/>
      <c r="X51" s="503">
        <v>274140.71999999997</v>
      </c>
      <c r="Y51" s="813"/>
      <c r="Z51" s="1032"/>
      <c r="AA51" s="583"/>
      <c r="AB51" s="675"/>
      <c r="AC51" s="687">
        <f t="shared" ref="AC51:AC52" si="6">AVERAGE(X51,V51,T51,R51,P51)</f>
        <v>320334.40000000002</v>
      </c>
    </row>
    <row r="52" spans="1:29" thickBot="1" x14ac:dyDescent="0.25">
      <c r="B52" s="895" t="s">
        <v>69</v>
      </c>
      <c r="C52" s="180"/>
      <c r="D52" s="189">
        <v>186747.66</v>
      </c>
      <c r="E52" s="38"/>
      <c r="F52" s="127">
        <v>180467.59</v>
      </c>
      <c r="G52" s="292"/>
      <c r="H52" s="489">
        <v>193657.29</v>
      </c>
      <c r="I52" s="370"/>
      <c r="J52" s="488">
        <v>270702.53999999998</v>
      </c>
      <c r="K52" s="501"/>
      <c r="L52" s="488">
        <v>262263.83</v>
      </c>
      <c r="M52" s="501"/>
      <c r="N52" s="488">
        <v>159402.1</v>
      </c>
      <c r="O52" s="814"/>
      <c r="P52" s="488">
        <v>163361</v>
      </c>
      <c r="Q52" s="814"/>
      <c r="R52" s="488">
        <v>184148.52</v>
      </c>
      <c r="S52" s="814"/>
      <c r="T52" s="488">
        <v>166451.78</v>
      </c>
      <c r="U52" s="814"/>
      <c r="V52" s="488">
        <v>173635.49</v>
      </c>
      <c r="W52" s="814"/>
      <c r="X52" s="488">
        <v>188833.24</v>
      </c>
      <c r="Y52" s="814"/>
      <c r="Z52" s="1071"/>
      <c r="AA52" s="583"/>
      <c r="AB52" s="12"/>
      <c r="AC52" s="686">
        <f t="shared" si="6"/>
        <v>175286.00599999999</v>
      </c>
    </row>
    <row r="53" spans="1:29" thickTop="1" x14ac:dyDescent="0.2">
      <c r="B53" s="92"/>
      <c r="C53" s="39"/>
      <c r="D53" s="94"/>
      <c r="E53" s="39"/>
      <c r="F53" s="61"/>
      <c r="G53" s="257"/>
      <c r="H53" s="250"/>
      <c r="I53" s="257"/>
      <c r="J53" s="504"/>
      <c r="K53" s="257"/>
      <c r="L53" s="250"/>
      <c r="M53" s="257"/>
      <c r="N53" s="250"/>
      <c r="O53" s="257"/>
      <c r="P53" s="250"/>
      <c r="Q53" s="257"/>
      <c r="R53" s="250"/>
      <c r="S53" s="257"/>
      <c r="T53" s="250"/>
      <c r="U53" s="257"/>
      <c r="V53" s="250"/>
      <c r="W53" s="257"/>
      <c r="X53" s="250"/>
      <c r="Y53" s="257"/>
      <c r="Z53" s="250"/>
      <c r="AA53" s="59"/>
      <c r="AC53" s="605"/>
    </row>
    <row r="54" spans="1:29" ht="18" x14ac:dyDescent="0.25">
      <c r="A54" s="695" t="s">
        <v>114</v>
      </c>
      <c r="B54" s="695"/>
      <c r="C54" s="695"/>
      <c r="D54" s="695"/>
      <c r="E54" s="695"/>
      <c r="F54" s="695"/>
      <c r="G54" s="695"/>
      <c r="H54" s="695"/>
      <c r="I54" s="696"/>
      <c r="J54" s="696"/>
      <c r="K54" s="696"/>
      <c r="L54" s="696"/>
      <c r="M54" s="696"/>
      <c r="N54" s="696"/>
      <c r="O54" s="696"/>
      <c r="P54" s="696"/>
      <c r="Q54" s="696"/>
      <c r="R54" s="696"/>
      <c r="S54" s="696"/>
      <c r="T54" s="696"/>
      <c r="U54" s="696"/>
      <c r="V54" s="696"/>
      <c r="W54" s="696"/>
      <c r="X54" s="696"/>
      <c r="Y54" s="696"/>
      <c r="Z54" s="696"/>
      <c r="AA54" s="696"/>
      <c r="AB54" s="696"/>
      <c r="AC54" s="696"/>
    </row>
    <row r="55" spans="1:29" x14ac:dyDescent="0.2">
      <c r="A55" s="3" t="s">
        <v>0</v>
      </c>
      <c r="C55" s="1"/>
      <c r="D55" s="1"/>
      <c r="E55" s="1"/>
      <c r="F55" s="1"/>
      <c r="G55" s="245"/>
      <c r="H55" s="245"/>
      <c r="I55" s="245"/>
      <c r="J55" s="245"/>
    </row>
    <row r="56" spans="1:29" x14ac:dyDescent="0.2">
      <c r="A56" s="3" t="s">
        <v>62</v>
      </c>
      <c r="B56" s="92"/>
      <c r="C56" s="39"/>
      <c r="D56" s="94"/>
      <c r="E56" s="39"/>
      <c r="F56" s="61"/>
      <c r="G56" s="257"/>
      <c r="H56" s="250"/>
      <c r="I56" s="257"/>
      <c r="J56" s="250"/>
      <c r="K56" s="257"/>
      <c r="L56" s="250"/>
      <c r="M56" s="257"/>
      <c r="N56" s="250"/>
      <c r="O56" s="257"/>
      <c r="P56" s="250"/>
      <c r="Q56" s="257"/>
      <c r="R56" s="250"/>
      <c r="S56" s="257"/>
      <c r="T56" s="250"/>
      <c r="U56" s="257"/>
      <c r="V56" s="250"/>
      <c r="W56" s="257"/>
      <c r="X56" s="250"/>
      <c r="Y56" s="257"/>
      <c r="Z56" s="250"/>
      <c r="AA56" s="59"/>
      <c r="AC56" s="59"/>
    </row>
    <row r="57" spans="1:29" thickBot="1" x14ac:dyDescent="0.25">
      <c r="B57" s="92"/>
      <c r="C57" s="39"/>
      <c r="D57" s="94"/>
      <c r="E57" s="39"/>
      <c r="F57" s="61"/>
      <c r="G57" s="257"/>
      <c r="H57" s="250"/>
      <c r="I57" s="257"/>
      <c r="J57" s="250"/>
      <c r="K57" s="257"/>
      <c r="L57" s="250"/>
      <c r="M57" s="257"/>
      <c r="N57" s="250"/>
      <c r="O57" s="257"/>
      <c r="P57" s="250"/>
      <c r="Q57" s="257"/>
      <c r="R57" s="250"/>
      <c r="S57" s="257"/>
      <c r="T57" s="250"/>
      <c r="U57" s="257"/>
      <c r="V57" s="250"/>
      <c r="W57" s="257"/>
      <c r="X57" s="250"/>
      <c r="Y57" s="257"/>
      <c r="Z57" s="250"/>
      <c r="AA57" s="59"/>
      <c r="AB57" s="12"/>
      <c r="AC57" s="12"/>
    </row>
    <row r="58" spans="1:29" ht="14.25" thickTop="1" thickBot="1" x14ac:dyDescent="0.25">
      <c r="B58" s="16"/>
      <c r="C58" s="1151" t="s">
        <v>39</v>
      </c>
      <c r="D58" s="1152"/>
      <c r="E58" s="1151" t="s">
        <v>40</v>
      </c>
      <c r="F58" s="1153"/>
      <c r="G58" s="1150" t="s">
        <v>97</v>
      </c>
      <c r="H58" s="1134"/>
      <c r="I58" s="1133" t="s">
        <v>108</v>
      </c>
      <c r="J58" s="1133"/>
      <c r="K58" s="1150" t="s">
        <v>109</v>
      </c>
      <c r="L58" s="1133"/>
      <c r="M58" s="1150" t="s">
        <v>111</v>
      </c>
      <c r="N58" s="1134"/>
      <c r="O58" s="1133" t="s">
        <v>164</v>
      </c>
      <c r="P58" s="1134"/>
      <c r="Q58" s="1133" t="s">
        <v>169</v>
      </c>
      <c r="R58" s="1134"/>
      <c r="S58" s="1133" t="s">
        <v>176</v>
      </c>
      <c r="T58" s="1134"/>
      <c r="U58" s="1133" t="s">
        <v>179</v>
      </c>
      <c r="V58" s="1134"/>
      <c r="W58" s="1133" t="s">
        <v>183</v>
      </c>
      <c r="X58" s="1134"/>
      <c r="Y58" s="1133" t="s">
        <v>187</v>
      </c>
      <c r="Z58" s="1134"/>
      <c r="AA58" s="583"/>
      <c r="AB58" s="1197" t="s">
        <v>118</v>
      </c>
      <c r="AC58" s="1198"/>
    </row>
    <row r="59" spans="1:29" ht="12" x14ac:dyDescent="0.2">
      <c r="B59" s="15" t="s">
        <v>43</v>
      </c>
      <c r="C59" s="149"/>
      <c r="D59" s="150"/>
      <c r="E59" s="149"/>
      <c r="F59" s="33"/>
      <c r="G59" s="280"/>
      <c r="H59" s="360"/>
      <c r="I59" s="358"/>
      <c r="J59" s="358"/>
      <c r="K59" s="280"/>
      <c r="L59" s="358"/>
      <c r="M59" s="280"/>
      <c r="N59" s="360"/>
      <c r="O59" s="358"/>
      <c r="P59" s="360"/>
      <c r="Q59" s="358"/>
      <c r="R59" s="360"/>
      <c r="S59" s="358"/>
      <c r="T59" s="360"/>
      <c r="U59" s="358"/>
      <c r="V59" s="360"/>
      <c r="W59" s="358"/>
      <c r="X59" s="360"/>
      <c r="Y59" s="358"/>
      <c r="Z59" s="360"/>
      <c r="AA59" s="583"/>
      <c r="AC59" s="583"/>
    </row>
    <row r="60" spans="1:29" ht="12" x14ac:dyDescent="0.2">
      <c r="B60" s="129" t="s">
        <v>44</v>
      </c>
      <c r="C60" s="151"/>
      <c r="D60" s="191"/>
      <c r="E60" s="151"/>
      <c r="F60" s="117"/>
      <c r="G60" s="281"/>
      <c r="H60" s="383"/>
      <c r="I60" s="254"/>
      <c r="J60" s="259"/>
      <c r="K60" s="281"/>
      <c r="L60" s="259"/>
      <c r="M60" s="281"/>
      <c r="N60" s="383"/>
      <c r="O60" s="254"/>
      <c r="P60" s="383"/>
      <c r="Q60" s="254"/>
      <c r="R60" s="383"/>
      <c r="S60" s="254"/>
      <c r="T60" s="383"/>
      <c r="U60" s="254"/>
      <c r="V60" s="383"/>
      <c r="W60" s="254"/>
      <c r="X60" s="383"/>
      <c r="Y60" s="254"/>
      <c r="Z60" s="383"/>
      <c r="AA60" s="583"/>
      <c r="AC60" s="583"/>
    </row>
    <row r="61" spans="1:29" ht="12" x14ac:dyDescent="0.2">
      <c r="B61" s="130" t="s">
        <v>45</v>
      </c>
      <c r="C61" s="151"/>
      <c r="D61" s="191">
        <v>12</v>
      </c>
      <c r="E61" s="151"/>
      <c r="F61" s="117">
        <v>12</v>
      </c>
      <c r="G61" s="281"/>
      <c r="H61" s="383">
        <v>13</v>
      </c>
      <c r="I61" s="254"/>
      <c r="J61" s="259">
        <v>13</v>
      </c>
      <c r="K61" s="281"/>
      <c r="L61" s="259">
        <v>14</v>
      </c>
      <c r="M61" s="281"/>
      <c r="N61" s="383">
        <v>14</v>
      </c>
      <c r="O61" s="254"/>
      <c r="P61" s="383">
        <v>10</v>
      </c>
      <c r="Q61" s="254"/>
      <c r="R61" s="383">
        <v>14</v>
      </c>
      <c r="S61" s="254"/>
      <c r="T61" s="383">
        <v>15</v>
      </c>
      <c r="U61" s="254"/>
      <c r="V61" s="383">
        <v>15</v>
      </c>
      <c r="W61" s="254"/>
      <c r="X61" s="383">
        <v>15</v>
      </c>
      <c r="Y61" s="254"/>
      <c r="Z61" s="383">
        <v>16</v>
      </c>
      <c r="AA61" s="583"/>
      <c r="AC61" s="601">
        <f t="shared" ref="AC61:AC62" si="7">AVERAGE(X61,V61,T61,R61,Z61)</f>
        <v>15</v>
      </c>
    </row>
    <row r="62" spans="1:29" ht="12" x14ac:dyDescent="0.2">
      <c r="B62" s="130" t="s">
        <v>144</v>
      </c>
      <c r="C62" s="151"/>
      <c r="D62" s="191">
        <v>0</v>
      </c>
      <c r="E62" s="151"/>
      <c r="F62" s="117">
        <v>0</v>
      </c>
      <c r="G62" s="281"/>
      <c r="H62" s="383">
        <v>0</v>
      </c>
      <c r="I62" s="254"/>
      <c r="J62" s="259">
        <v>0</v>
      </c>
      <c r="K62" s="281"/>
      <c r="L62" s="259">
        <v>0</v>
      </c>
      <c r="M62" s="281"/>
      <c r="N62" s="383">
        <v>1</v>
      </c>
      <c r="O62" s="254"/>
      <c r="P62" s="383">
        <v>1</v>
      </c>
      <c r="Q62" s="254"/>
      <c r="R62" s="383">
        <v>1</v>
      </c>
      <c r="S62" s="254"/>
      <c r="T62" s="383">
        <v>1</v>
      </c>
      <c r="U62" s="254"/>
      <c r="V62" s="383">
        <v>1</v>
      </c>
      <c r="W62" s="254"/>
      <c r="X62" s="383">
        <v>1</v>
      </c>
      <c r="Y62" s="254"/>
      <c r="Z62" s="383">
        <v>0</v>
      </c>
      <c r="AA62" s="583"/>
      <c r="AC62" s="601">
        <f t="shared" si="7"/>
        <v>0.8</v>
      </c>
    </row>
    <row r="63" spans="1:29" ht="12" x14ac:dyDescent="0.2">
      <c r="B63" s="129" t="s">
        <v>46</v>
      </c>
      <c r="C63" s="151"/>
      <c r="D63" s="153"/>
      <c r="E63" s="151"/>
      <c r="F63" s="53"/>
      <c r="G63" s="281"/>
      <c r="H63" s="363"/>
      <c r="I63" s="254"/>
      <c r="J63" s="121"/>
      <c r="K63" s="281"/>
      <c r="L63" s="121"/>
      <c r="M63" s="281"/>
      <c r="N63" s="363"/>
      <c r="O63" s="254"/>
      <c r="P63" s="363"/>
      <c r="Q63" s="254"/>
      <c r="R63" s="363"/>
      <c r="S63" s="254"/>
      <c r="T63" s="363"/>
      <c r="U63" s="254"/>
      <c r="V63" s="363"/>
      <c r="W63" s="254"/>
      <c r="X63" s="363"/>
      <c r="Y63" s="254"/>
      <c r="Z63" s="363"/>
      <c r="AA63" s="583"/>
      <c r="AC63" s="601"/>
    </row>
    <row r="64" spans="1:29" ht="12" x14ac:dyDescent="0.2">
      <c r="B64" s="130" t="s">
        <v>45</v>
      </c>
      <c r="C64" s="151"/>
      <c r="D64" s="153">
        <v>0</v>
      </c>
      <c r="E64" s="151"/>
      <c r="F64" s="53">
        <v>0</v>
      </c>
      <c r="G64" s="281"/>
      <c r="H64" s="363">
        <v>0</v>
      </c>
      <c r="I64" s="254"/>
      <c r="J64" s="121">
        <v>0</v>
      </c>
      <c r="K64" s="281"/>
      <c r="L64" s="121">
        <v>0</v>
      </c>
      <c r="M64" s="281"/>
      <c r="N64" s="363">
        <v>0</v>
      </c>
      <c r="O64" s="254"/>
      <c r="P64" s="363">
        <v>0</v>
      </c>
      <c r="Q64" s="254"/>
      <c r="R64" s="363">
        <v>0</v>
      </c>
      <c r="S64" s="254"/>
      <c r="T64" s="363">
        <v>0</v>
      </c>
      <c r="U64" s="254"/>
      <c r="V64" s="363">
        <v>0</v>
      </c>
      <c r="W64" s="254"/>
      <c r="X64" s="363">
        <v>0</v>
      </c>
      <c r="Y64" s="254"/>
      <c r="Z64" s="363">
        <v>0</v>
      </c>
      <c r="AA64" s="583"/>
      <c r="AC64" s="601">
        <f t="shared" ref="AC64:AC66" si="8">AVERAGE(X64,V64,T64,R64,Z64)</f>
        <v>0</v>
      </c>
    </row>
    <row r="65" spans="2:29" ht="12" x14ac:dyDescent="0.2">
      <c r="B65" s="131" t="s">
        <v>144</v>
      </c>
      <c r="C65" s="151"/>
      <c r="D65" s="153">
        <v>0</v>
      </c>
      <c r="E65" s="151"/>
      <c r="F65" s="53">
        <v>0</v>
      </c>
      <c r="G65" s="281"/>
      <c r="H65" s="363">
        <v>0</v>
      </c>
      <c r="I65" s="254"/>
      <c r="J65" s="121">
        <v>0</v>
      </c>
      <c r="K65" s="281"/>
      <c r="L65" s="121">
        <v>0</v>
      </c>
      <c r="M65" s="281"/>
      <c r="N65" s="363">
        <v>0</v>
      </c>
      <c r="O65" s="254"/>
      <c r="P65" s="363">
        <v>0</v>
      </c>
      <c r="Q65" s="254"/>
      <c r="R65" s="363">
        <v>0</v>
      </c>
      <c r="S65" s="254"/>
      <c r="T65" s="363">
        <v>0</v>
      </c>
      <c r="U65" s="254"/>
      <c r="V65" s="363">
        <v>0</v>
      </c>
      <c r="W65" s="254"/>
      <c r="X65" s="363">
        <v>0</v>
      </c>
      <c r="Y65" s="254"/>
      <c r="Z65" s="363">
        <v>0</v>
      </c>
      <c r="AA65" s="583"/>
      <c r="AC65" s="601">
        <f t="shared" si="8"/>
        <v>0</v>
      </c>
    </row>
    <row r="66" spans="2:29" thickBot="1" x14ac:dyDescent="0.25">
      <c r="B66" s="97" t="s">
        <v>12</v>
      </c>
      <c r="C66" s="192"/>
      <c r="D66" s="155">
        <f>SUM(D61:D65)</f>
        <v>12</v>
      </c>
      <c r="E66" s="192"/>
      <c r="F66" s="98">
        <f>SUM(F61:F65)</f>
        <v>12</v>
      </c>
      <c r="G66" s="309"/>
      <c r="H66" s="384">
        <v>13</v>
      </c>
      <c r="I66" s="378"/>
      <c r="J66" s="434">
        <f>SUM(J61:J65)</f>
        <v>13</v>
      </c>
      <c r="K66" s="309"/>
      <c r="L66" s="434">
        <f>SUM(L61:L65)</f>
        <v>14</v>
      </c>
      <c r="M66" s="309"/>
      <c r="N66" s="384">
        <f>SUM(N61:N65)</f>
        <v>15</v>
      </c>
      <c r="O66" s="378"/>
      <c r="P66" s="384">
        <f>SUM(P61:P65)</f>
        <v>11</v>
      </c>
      <c r="Q66" s="378"/>
      <c r="R66" s="384">
        <f>SUM(R61:R65)</f>
        <v>15</v>
      </c>
      <c r="S66" s="378"/>
      <c r="T66" s="384">
        <f>SUM(T61:T65)</f>
        <v>16</v>
      </c>
      <c r="U66" s="378"/>
      <c r="V66" s="384">
        <f>SUM(V61:V65)</f>
        <v>16</v>
      </c>
      <c r="W66" s="378"/>
      <c r="X66" s="384">
        <f>SUM(X61:X65)</f>
        <v>16</v>
      </c>
      <c r="Y66" s="378"/>
      <c r="Z66" s="384">
        <f>SUM(Z61:Z65)</f>
        <v>16</v>
      </c>
      <c r="AA66" s="583"/>
      <c r="AB66" s="604"/>
      <c r="AC66" s="668">
        <f t="shared" si="8"/>
        <v>15.8</v>
      </c>
    </row>
    <row r="67" spans="2:29" thickTop="1" x14ac:dyDescent="0.2">
      <c r="B67" s="145" t="s">
        <v>92</v>
      </c>
      <c r="C67" s="193" t="s">
        <v>89</v>
      </c>
      <c r="D67" s="194" t="s">
        <v>90</v>
      </c>
      <c r="E67" s="193" t="s">
        <v>89</v>
      </c>
      <c r="F67" s="194" t="s">
        <v>90</v>
      </c>
      <c r="G67" s="193" t="s">
        <v>89</v>
      </c>
      <c r="H67" s="194" t="s">
        <v>90</v>
      </c>
      <c r="I67" s="193" t="s">
        <v>89</v>
      </c>
      <c r="J67" s="194" t="s">
        <v>90</v>
      </c>
      <c r="K67" s="193" t="s">
        <v>89</v>
      </c>
      <c r="L67" s="194" t="s">
        <v>90</v>
      </c>
      <c r="M67" s="193" t="s">
        <v>89</v>
      </c>
      <c r="N67" s="824" t="s">
        <v>90</v>
      </c>
      <c r="O67" s="811" t="s">
        <v>89</v>
      </c>
      <c r="P67" s="824" t="s">
        <v>90</v>
      </c>
      <c r="Q67" s="980" t="s">
        <v>89</v>
      </c>
      <c r="R67" s="973" t="s">
        <v>90</v>
      </c>
      <c r="S67" s="980" t="s">
        <v>89</v>
      </c>
      <c r="T67" s="973" t="s">
        <v>90</v>
      </c>
      <c r="U67" s="980" t="s">
        <v>89</v>
      </c>
      <c r="V67" s="973" t="s">
        <v>90</v>
      </c>
      <c r="W67" s="980" t="s">
        <v>89</v>
      </c>
      <c r="X67" s="973" t="s">
        <v>90</v>
      </c>
      <c r="Y67" s="980" t="s">
        <v>89</v>
      </c>
      <c r="Z67" s="1113" t="s">
        <v>90</v>
      </c>
      <c r="AA67" s="583"/>
      <c r="AB67" s="193" t="s">
        <v>89</v>
      </c>
      <c r="AC67" s="694" t="s">
        <v>90</v>
      </c>
    </row>
    <row r="68" spans="2:29" ht="12" x14ac:dyDescent="0.2">
      <c r="B68" s="130" t="s">
        <v>73</v>
      </c>
      <c r="C68" s="195">
        <v>11</v>
      </c>
      <c r="D68" s="196">
        <f>C68/D$66</f>
        <v>0.91666666666666663</v>
      </c>
      <c r="E68" s="195">
        <v>11</v>
      </c>
      <c r="F68" s="202">
        <f t="shared" ref="F68:H75" si="9">E68/F$66</f>
        <v>0.91666666666666663</v>
      </c>
      <c r="G68" s="195">
        <v>12</v>
      </c>
      <c r="H68" s="386">
        <f t="shared" si="9"/>
        <v>0.92307692307692313</v>
      </c>
      <c r="I68" s="148">
        <v>12</v>
      </c>
      <c r="J68" s="202">
        <f t="shared" ref="J68:L75" si="10">I68/J$66</f>
        <v>0.92307692307692313</v>
      </c>
      <c r="K68" s="195">
        <v>12</v>
      </c>
      <c r="L68" s="202">
        <f t="shared" si="10"/>
        <v>0.8571428571428571</v>
      </c>
      <c r="M68" s="195">
        <v>12</v>
      </c>
      <c r="N68" s="386">
        <f t="shared" ref="N68:R75" si="11">M68/N$66</f>
        <v>0.8</v>
      </c>
      <c r="O68" s="148">
        <v>11</v>
      </c>
      <c r="P68" s="386">
        <f t="shared" si="11"/>
        <v>1</v>
      </c>
      <c r="Q68" s="148">
        <v>12</v>
      </c>
      <c r="R68" s="386">
        <f t="shared" si="11"/>
        <v>0.8</v>
      </c>
      <c r="S68" s="148">
        <f>1+12</f>
        <v>13</v>
      </c>
      <c r="T68" s="386">
        <f t="shared" ref="T68:T75" si="12">S68/T$66</f>
        <v>0.8125</v>
      </c>
      <c r="U68" s="148">
        <v>12</v>
      </c>
      <c r="V68" s="386">
        <f t="shared" ref="V68:V75" si="13">U68/V$66</f>
        <v>0.75</v>
      </c>
      <c r="W68" s="148">
        <v>13</v>
      </c>
      <c r="X68" s="386">
        <f t="shared" ref="X68:X75" si="14">W68/X$66</f>
        <v>0.8125</v>
      </c>
      <c r="Y68" s="148">
        <v>13</v>
      </c>
      <c r="Z68" s="386">
        <f t="shared" ref="Z68:Z75" si="15">Y68/Z$66</f>
        <v>0.8125</v>
      </c>
      <c r="AA68" s="583"/>
      <c r="AB68" s="666">
        <f t="shared" ref="AB68:AB75" si="16">AVERAGE(W68,U68,S68,Q68,Y68)</f>
        <v>12.6</v>
      </c>
      <c r="AC68" s="692">
        <f t="shared" ref="AC68:AC75" si="17">AVERAGE(X68,V68,T68,R68,Z68)</f>
        <v>0.79749999999999999</v>
      </c>
    </row>
    <row r="69" spans="2:29" ht="12" x14ac:dyDescent="0.2">
      <c r="B69" s="144" t="s">
        <v>74</v>
      </c>
      <c r="C69" s="195">
        <v>1</v>
      </c>
      <c r="D69" s="196">
        <f t="shared" ref="D69:D87" si="18">C69/$D$66</f>
        <v>8.3333333333333329E-2</v>
      </c>
      <c r="E69" s="195">
        <v>1</v>
      </c>
      <c r="F69" s="202">
        <f t="shared" si="9"/>
        <v>8.3333333333333329E-2</v>
      </c>
      <c r="G69" s="195">
        <v>1</v>
      </c>
      <c r="H69" s="386">
        <f t="shared" si="9"/>
        <v>7.6923076923076927E-2</v>
      </c>
      <c r="I69" s="148">
        <v>1</v>
      </c>
      <c r="J69" s="202">
        <f t="shared" si="10"/>
        <v>7.6923076923076927E-2</v>
      </c>
      <c r="K69" s="195">
        <v>2</v>
      </c>
      <c r="L69" s="202">
        <f t="shared" si="10"/>
        <v>0.14285714285714285</v>
      </c>
      <c r="M69" s="195">
        <v>2</v>
      </c>
      <c r="N69" s="386">
        <f t="shared" si="11"/>
        <v>0.13333333333333333</v>
      </c>
      <c r="O69" s="148">
        <v>1</v>
      </c>
      <c r="P69" s="386">
        <f t="shared" si="11"/>
        <v>9.0909090909090912E-2</v>
      </c>
      <c r="Q69" s="148">
        <v>1</v>
      </c>
      <c r="R69" s="386">
        <f t="shared" si="11"/>
        <v>6.6666666666666666E-2</v>
      </c>
      <c r="S69" s="148">
        <f>1</f>
        <v>1</v>
      </c>
      <c r="T69" s="386">
        <f t="shared" si="12"/>
        <v>6.25E-2</v>
      </c>
      <c r="U69" s="148">
        <v>1</v>
      </c>
      <c r="V69" s="386">
        <f t="shared" si="13"/>
        <v>6.25E-2</v>
      </c>
      <c r="W69" s="148">
        <v>1</v>
      </c>
      <c r="X69" s="386">
        <f t="shared" si="14"/>
        <v>6.25E-2</v>
      </c>
      <c r="Y69" s="148">
        <v>1</v>
      </c>
      <c r="Z69" s="386">
        <f t="shared" si="15"/>
        <v>6.25E-2</v>
      </c>
      <c r="AA69" s="583"/>
      <c r="AB69" s="666">
        <f t="shared" si="16"/>
        <v>1</v>
      </c>
      <c r="AC69" s="692">
        <f t="shared" si="17"/>
        <v>6.3333333333333325E-2</v>
      </c>
    </row>
    <row r="70" spans="2:29" ht="12" x14ac:dyDescent="0.2">
      <c r="B70" s="144" t="s">
        <v>75</v>
      </c>
      <c r="C70" s="195">
        <v>0</v>
      </c>
      <c r="D70" s="196">
        <f t="shared" si="18"/>
        <v>0</v>
      </c>
      <c r="E70" s="195">
        <v>0</v>
      </c>
      <c r="F70" s="202">
        <f t="shared" si="9"/>
        <v>0</v>
      </c>
      <c r="G70" s="195">
        <v>0</v>
      </c>
      <c r="H70" s="386">
        <f t="shared" si="9"/>
        <v>0</v>
      </c>
      <c r="I70" s="148">
        <v>0</v>
      </c>
      <c r="J70" s="202">
        <f t="shared" si="10"/>
        <v>0</v>
      </c>
      <c r="K70" s="195">
        <v>0</v>
      </c>
      <c r="L70" s="202">
        <f t="shared" si="10"/>
        <v>0</v>
      </c>
      <c r="M70" s="195">
        <v>0</v>
      </c>
      <c r="N70" s="386">
        <f t="shared" si="11"/>
        <v>0</v>
      </c>
      <c r="O70" s="148">
        <v>0</v>
      </c>
      <c r="P70" s="386">
        <f t="shared" si="11"/>
        <v>0</v>
      </c>
      <c r="Q70" s="148">
        <v>0</v>
      </c>
      <c r="R70" s="386">
        <f t="shared" si="11"/>
        <v>0</v>
      </c>
      <c r="S70" s="148">
        <f>0</f>
        <v>0</v>
      </c>
      <c r="T70" s="386">
        <f t="shared" si="12"/>
        <v>0</v>
      </c>
      <c r="U70" s="148">
        <v>0</v>
      </c>
      <c r="V70" s="386">
        <f t="shared" si="13"/>
        <v>0</v>
      </c>
      <c r="W70" s="148">
        <v>0</v>
      </c>
      <c r="X70" s="386">
        <f t="shared" si="14"/>
        <v>0</v>
      </c>
      <c r="Y70" s="148">
        <v>0</v>
      </c>
      <c r="Z70" s="386">
        <f t="shared" si="15"/>
        <v>0</v>
      </c>
      <c r="AA70" s="583"/>
      <c r="AB70" s="666">
        <f t="shared" si="16"/>
        <v>0</v>
      </c>
      <c r="AC70" s="692">
        <f t="shared" si="17"/>
        <v>0</v>
      </c>
    </row>
    <row r="71" spans="2:29" ht="12" x14ac:dyDescent="0.2">
      <c r="B71" s="144" t="s">
        <v>76</v>
      </c>
      <c r="C71" s="195">
        <v>0</v>
      </c>
      <c r="D71" s="196">
        <f t="shared" si="18"/>
        <v>0</v>
      </c>
      <c r="E71" s="195">
        <v>0</v>
      </c>
      <c r="F71" s="202">
        <f t="shared" si="9"/>
        <v>0</v>
      </c>
      <c r="G71" s="195">
        <v>0</v>
      </c>
      <c r="H71" s="386">
        <f t="shared" si="9"/>
        <v>0</v>
      </c>
      <c r="I71" s="148">
        <v>0</v>
      </c>
      <c r="J71" s="202">
        <f t="shared" si="10"/>
        <v>0</v>
      </c>
      <c r="K71" s="195">
        <v>0</v>
      </c>
      <c r="L71" s="202">
        <f t="shared" si="10"/>
        <v>0</v>
      </c>
      <c r="M71" s="195">
        <v>0</v>
      </c>
      <c r="N71" s="386">
        <f t="shared" si="11"/>
        <v>0</v>
      </c>
      <c r="O71" s="148">
        <v>0</v>
      </c>
      <c r="P71" s="386">
        <f t="shared" si="11"/>
        <v>0</v>
      </c>
      <c r="Q71" s="148">
        <v>0</v>
      </c>
      <c r="R71" s="386">
        <f t="shared" si="11"/>
        <v>0</v>
      </c>
      <c r="S71" s="148">
        <f>0</f>
        <v>0</v>
      </c>
      <c r="T71" s="386">
        <f t="shared" si="12"/>
        <v>0</v>
      </c>
      <c r="U71" s="148">
        <v>0</v>
      </c>
      <c r="V71" s="386">
        <f t="shared" si="13"/>
        <v>0</v>
      </c>
      <c r="W71" s="148">
        <v>0</v>
      </c>
      <c r="X71" s="386">
        <f t="shared" si="14"/>
        <v>0</v>
      </c>
      <c r="Y71" s="148">
        <v>0</v>
      </c>
      <c r="Z71" s="386">
        <f t="shared" si="15"/>
        <v>0</v>
      </c>
      <c r="AA71" s="583"/>
      <c r="AB71" s="666">
        <f t="shared" si="16"/>
        <v>0</v>
      </c>
      <c r="AC71" s="692">
        <f t="shared" si="17"/>
        <v>0</v>
      </c>
    </row>
    <row r="72" spans="2:29" ht="12" x14ac:dyDescent="0.2">
      <c r="B72" s="144" t="s">
        <v>77</v>
      </c>
      <c r="C72" s="195">
        <v>0</v>
      </c>
      <c r="D72" s="196">
        <f t="shared" si="18"/>
        <v>0</v>
      </c>
      <c r="E72" s="195">
        <v>0</v>
      </c>
      <c r="F72" s="202">
        <f t="shared" si="9"/>
        <v>0</v>
      </c>
      <c r="G72" s="195">
        <v>0</v>
      </c>
      <c r="H72" s="386">
        <f t="shared" si="9"/>
        <v>0</v>
      </c>
      <c r="I72" s="148">
        <v>0</v>
      </c>
      <c r="J72" s="202">
        <f t="shared" si="10"/>
        <v>0</v>
      </c>
      <c r="K72" s="195">
        <v>0</v>
      </c>
      <c r="L72" s="202">
        <f t="shared" si="10"/>
        <v>0</v>
      </c>
      <c r="M72" s="195">
        <v>1</v>
      </c>
      <c r="N72" s="386">
        <f t="shared" si="11"/>
        <v>6.6666666666666666E-2</v>
      </c>
      <c r="O72" s="148">
        <v>1</v>
      </c>
      <c r="P72" s="386">
        <f t="shared" si="11"/>
        <v>9.0909090909090912E-2</v>
      </c>
      <c r="Q72" s="148">
        <v>1</v>
      </c>
      <c r="R72" s="386">
        <f t="shared" si="11"/>
        <v>6.6666666666666666E-2</v>
      </c>
      <c r="S72" s="148">
        <f>1</f>
        <v>1</v>
      </c>
      <c r="T72" s="386">
        <f t="shared" si="12"/>
        <v>6.25E-2</v>
      </c>
      <c r="U72" s="148">
        <v>1</v>
      </c>
      <c r="V72" s="386">
        <f t="shared" si="13"/>
        <v>6.25E-2</v>
      </c>
      <c r="W72" s="148">
        <v>1</v>
      </c>
      <c r="X72" s="386">
        <f t="shared" si="14"/>
        <v>6.25E-2</v>
      </c>
      <c r="Y72" s="148">
        <v>1</v>
      </c>
      <c r="Z72" s="386">
        <f t="shared" si="15"/>
        <v>6.25E-2</v>
      </c>
      <c r="AA72" s="583"/>
      <c r="AB72" s="666">
        <f t="shared" si="16"/>
        <v>1</v>
      </c>
      <c r="AC72" s="692">
        <f t="shared" si="17"/>
        <v>6.3333333333333325E-2</v>
      </c>
    </row>
    <row r="73" spans="2:29" ht="12" x14ac:dyDescent="0.2">
      <c r="B73" s="144" t="s">
        <v>78</v>
      </c>
      <c r="C73" s="195">
        <v>0</v>
      </c>
      <c r="D73" s="196">
        <f t="shared" si="18"/>
        <v>0</v>
      </c>
      <c r="E73" s="195">
        <v>0</v>
      </c>
      <c r="F73" s="202">
        <f t="shared" si="9"/>
        <v>0</v>
      </c>
      <c r="G73" s="195">
        <v>0</v>
      </c>
      <c r="H73" s="386">
        <f t="shared" si="9"/>
        <v>0</v>
      </c>
      <c r="I73" s="148">
        <v>0</v>
      </c>
      <c r="J73" s="202">
        <f t="shared" si="10"/>
        <v>0</v>
      </c>
      <c r="K73" s="195">
        <v>0</v>
      </c>
      <c r="L73" s="202">
        <f t="shared" si="10"/>
        <v>0</v>
      </c>
      <c r="M73" s="195">
        <v>0</v>
      </c>
      <c r="N73" s="386">
        <f t="shared" si="11"/>
        <v>0</v>
      </c>
      <c r="O73" s="148">
        <v>0</v>
      </c>
      <c r="P73" s="386">
        <f t="shared" si="11"/>
        <v>0</v>
      </c>
      <c r="Q73" s="148">
        <v>0</v>
      </c>
      <c r="R73" s="386">
        <f t="shared" si="11"/>
        <v>0</v>
      </c>
      <c r="S73" s="148">
        <f>0</f>
        <v>0</v>
      </c>
      <c r="T73" s="386">
        <f t="shared" si="12"/>
        <v>0</v>
      </c>
      <c r="U73" s="148">
        <v>0</v>
      </c>
      <c r="V73" s="386">
        <f t="shared" si="13"/>
        <v>0</v>
      </c>
      <c r="W73" s="148">
        <v>0</v>
      </c>
      <c r="X73" s="386">
        <f t="shared" si="14"/>
        <v>0</v>
      </c>
      <c r="Y73" s="148">
        <v>0</v>
      </c>
      <c r="Z73" s="386">
        <f t="shared" si="15"/>
        <v>0</v>
      </c>
      <c r="AA73" s="583"/>
      <c r="AB73" s="666">
        <f t="shared" si="16"/>
        <v>0</v>
      </c>
      <c r="AC73" s="692">
        <f t="shared" si="17"/>
        <v>0</v>
      </c>
    </row>
    <row r="74" spans="2:29" ht="12" x14ac:dyDescent="0.2">
      <c r="B74" s="144" t="s">
        <v>172</v>
      </c>
      <c r="C74" s="197"/>
      <c r="D74" s="196"/>
      <c r="E74" s="197"/>
      <c r="F74" s="202"/>
      <c r="G74" s="974"/>
      <c r="H74" s="975"/>
      <c r="I74" s="976"/>
      <c r="J74" s="977"/>
      <c r="K74" s="974"/>
      <c r="L74" s="977"/>
      <c r="M74" s="974"/>
      <c r="N74" s="975"/>
      <c r="O74" s="976"/>
      <c r="P74" s="975"/>
      <c r="Q74" s="146">
        <v>0</v>
      </c>
      <c r="R74" s="386">
        <f t="shared" si="11"/>
        <v>0</v>
      </c>
      <c r="S74" s="146">
        <f>0</f>
        <v>0</v>
      </c>
      <c r="T74" s="386">
        <f t="shared" si="12"/>
        <v>0</v>
      </c>
      <c r="U74" s="146">
        <v>0</v>
      </c>
      <c r="V74" s="386">
        <f t="shared" si="13"/>
        <v>0</v>
      </c>
      <c r="W74" s="146">
        <v>0</v>
      </c>
      <c r="X74" s="386">
        <f t="shared" si="14"/>
        <v>0</v>
      </c>
      <c r="Y74" s="146">
        <v>0</v>
      </c>
      <c r="Z74" s="386">
        <f t="shared" si="15"/>
        <v>0</v>
      </c>
      <c r="AA74" s="583"/>
      <c r="AB74" s="666">
        <f t="shared" si="16"/>
        <v>0</v>
      </c>
      <c r="AC74" s="692">
        <f t="shared" si="17"/>
        <v>0</v>
      </c>
    </row>
    <row r="75" spans="2:29" ht="12" x14ac:dyDescent="0.2">
      <c r="B75" s="144" t="s">
        <v>79</v>
      </c>
      <c r="C75" s="197">
        <v>0</v>
      </c>
      <c r="D75" s="196">
        <f t="shared" si="18"/>
        <v>0</v>
      </c>
      <c r="E75" s="197">
        <v>0</v>
      </c>
      <c r="F75" s="202">
        <f t="shared" si="9"/>
        <v>0</v>
      </c>
      <c r="G75" s="197">
        <v>0</v>
      </c>
      <c r="H75" s="386">
        <f t="shared" si="9"/>
        <v>0</v>
      </c>
      <c r="I75" s="146">
        <v>0</v>
      </c>
      <c r="J75" s="202">
        <f t="shared" si="10"/>
        <v>0</v>
      </c>
      <c r="K75" s="197">
        <v>0</v>
      </c>
      <c r="L75" s="202">
        <f t="shared" si="10"/>
        <v>0</v>
      </c>
      <c r="M75" s="197">
        <v>0</v>
      </c>
      <c r="N75" s="386">
        <f t="shared" si="11"/>
        <v>0</v>
      </c>
      <c r="O75" s="146">
        <v>1</v>
      </c>
      <c r="P75" s="386">
        <f t="shared" si="11"/>
        <v>9.0909090909090912E-2</v>
      </c>
      <c r="Q75" s="146">
        <v>1</v>
      </c>
      <c r="R75" s="386">
        <f t="shared" si="11"/>
        <v>6.6666666666666666E-2</v>
      </c>
      <c r="S75" s="146">
        <f>1</f>
        <v>1</v>
      </c>
      <c r="T75" s="386">
        <f t="shared" si="12"/>
        <v>6.25E-2</v>
      </c>
      <c r="U75" s="146">
        <v>1</v>
      </c>
      <c r="V75" s="386">
        <f t="shared" si="13"/>
        <v>6.25E-2</v>
      </c>
      <c r="W75" s="146">
        <v>1</v>
      </c>
      <c r="X75" s="386">
        <f t="shared" si="14"/>
        <v>6.25E-2</v>
      </c>
      <c r="Y75" s="146">
        <v>1</v>
      </c>
      <c r="Z75" s="386">
        <f t="shared" si="15"/>
        <v>6.25E-2</v>
      </c>
      <c r="AA75" s="583"/>
      <c r="AB75" s="666">
        <f t="shared" si="16"/>
        <v>1</v>
      </c>
      <c r="AC75" s="692">
        <f t="shared" si="17"/>
        <v>6.3333333333333325E-2</v>
      </c>
    </row>
    <row r="76" spans="2:29" ht="12" x14ac:dyDescent="0.2">
      <c r="B76" s="138" t="s">
        <v>93</v>
      </c>
      <c r="C76" s="198"/>
      <c r="D76" s="196"/>
      <c r="E76" s="311"/>
      <c r="F76" s="306"/>
      <c r="G76" s="311"/>
      <c r="H76" s="387"/>
      <c r="I76" s="206"/>
      <c r="J76" s="306"/>
      <c r="K76" s="311"/>
      <c r="L76" s="306"/>
      <c r="M76" s="311"/>
      <c r="N76" s="387"/>
      <c r="O76" s="206"/>
      <c r="P76" s="387"/>
      <c r="Q76" s="206"/>
      <c r="R76" s="387"/>
      <c r="S76" s="206"/>
      <c r="T76" s="387"/>
      <c r="U76" s="206"/>
      <c r="V76" s="387"/>
      <c r="W76" s="206"/>
      <c r="X76" s="387"/>
      <c r="Y76" s="206"/>
      <c r="Z76" s="387"/>
      <c r="AA76" s="583"/>
      <c r="AB76" s="666"/>
      <c r="AC76" s="692"/>
    </row>
    <row r="77" spans="2:29" ht="12" x14ac:dyDescent="0.2">
      <c r="B77" s="130" t="s">
        <v>80</v>
      </c>
      <c r="C77" s="209">
        <v>8</v>
      </c>
      <c r="D77" s="196">
        <f t="shared" si="18"/>
        <v>0.66666666666666663</v>
      </c>
      <c r="E77" s="205">
        <v>8</v>
      </c>
      <c r="F77" s="234">
        <f>E77/F$66</f>
        <v>0.66666666666666663</v>
      </c>
      <c r="G77" s="209">
        <v>8</v>
      </c>
      <c r="H77" s="388">
        <f>G77/H$66</f>
        <v>0.61538461538461542</v>
      </c>
      <c r="I77" s="259">
        <v>9</v>
      </c>
      <c r="J77" s="234">
        <f>I77/J$66</f>
        <v>0.69230769230769229</v>
      </c>
      <c r="K77" s="209">
        <v>10</v>
      </c>
      <c r="L77" s="234">
        <f>K77/L$66</f>
        <v>0.7142857142857143</v>
      </c>
      <c r="M77" s="209">
        <v>10</v>
      </c>
      <c r="N77" s="388">
        <f>M77/N$66</f>
        <v>0.66666666666666663</v>
      </c>
      <c r="O77" s="259">
        <v>9</v>
      </c>
      <c r="P77" s="388">
        <f>O77/P$66</f>
        <v>0.81818181818181823</v>
      </c>
      <c r="Q77" s="259">
        <v>9</v>
      </c>
      <c r="R77" s="386">
        <f>Q77/R$66</f>
        <v>0.6</v>
      </c>
      <c r="S77" s="259">
        <f>9</f>
        <v>9</v>
      </c>
      <c r="T77" s="386">
        <f>S77/T$66</f>
        <v>0.5625</v>
      </c>
      <c r="U77" s="259">
        <v>9</v>
      </c>
      <c r="V77" s="386">
        <f>U77/V$66</f>
        <v>0.5625</v>
      </c>
      <c r="W77" s="259">
        <v>9</v>
      </c>
      <c r="X77" s="386">
        <f>W77/X$66</f>
        <v>0.5625</v>
      </c>
      <c r="Y77" s="259">
        <v>10</v>
      </c>
      <c r="Z77" s="386">
        <f>Y77/Z$66</f>
        <v>0.625</v>
      </c>
      <c r="AA77" s="583"/>
      <c r="AB77" s="666">
        <f t="shared" ref="AB77:AB78" si="19">AVERAGE(W77,U77,S77,Q77,Y77)</f>
        <v>9.1999999999999993</v>
      </c>
      <c r="AC77" s="692">
        <f t="shared" ref="AC77:AC78" si="20">AVERAGE(X77,V77,T77,R77,Z77)</f>
        <v>0.58250000000000002</v>
      </c>
    </row>
    <row r="78" spans="2:29" ht="12" x14ac:dyDescent="0.2">
      <c r="B78" s="130" t="s">
        <v>81</v>
      </c>
      <c r="C78" s="209">
        <v>4</v>
      </c>
      <c r="D78" s="196">
        <f t="shared" si="18"/>
        <v>0.33333333333333331</v>
      </c>
      <c r="E78" s="521">
        <v>4</v>
      </c>
      <c r="F78" s="234">
        <f>E78/F$66</f>
        <v>0.33333333333333331</v>
      </c>
      <c r="G78" s="340">
        <v>5</v>
      </c>
      <c r="H78" s="388">
        <f>G78/H$66</f>
        <v>0.38461538461538464</v>
      </c>
      <c r="I78" s="380">
        <v>4</v>
      </c>
      <c r="J78" s="234">
        <f>I78/J$66</f>
        <v>0.30769230769230771</v>
      </c>
      <c r="K78" s="340">
        <v>4</v>
      </c>
      <c r="L78" s="234">
        <f>K78/L$66</f>
        <v>0.2857142857142857</v>
      </c>
      <c r="M78" s="340">
        <f>4+1</f>
        <v>5</v>
      </c>
      <c r="N78" s="388">
        <f>M78/N$66</f>
        <v>0.33333333333333331</v>
      </c>
      <c r="O78" s="380">
        <v>5</v>
      </c>
      <c r="P78" s="388">
        <f>O78/P$66</f>
        <v>0.45454545454545453</v>
      </c>
      <c r="Q78" s="380">
        <v>6</v>
      </c>
      <c r="R78" s="386">
        <f>Q78/R$66</f>
        <v>0.4</v>
      </c>
      <c r="S78" s="380">
        <f>1+6</f>
        <v>7</v>
      </c>
      <c r="T78" s="386">
        <f>S78/T$66</f>
        <v>0.4375</v>
      </c>
      <c r="U78" s="380">
        <v>7</v>
      </c>
      <c r="V78" s="386">
        <f>U78/V$66</f>
        <v>0.4375</v>
      </c>
      <c r="W78" s="380">
        <v>7</v>
      </c>
      <c r="X78" s="386">
        <f>W78/X$66</f>
        <v>0.4375</v>
      </c>
      <c r="Y78" s="380">
        <v>6</v>
      </c>
      <c r="Z78" s="386">
        <f>Y78/Z$66</f>
        <v>0.375</v>
      </c>
      <c r="AA78" s="583"/>
      <c r="AB78" s="666">
        <f t="shared" si="19"/>
        <v>6.6</v>
      </c>
      <c r="AC78" s="692">
        <f t="shared" si="20"/>
        <v>0.41749999999999998</v>
      </c>
    </row>
    <row r="79" spans="2:29" ht="12" x14ac:dyDescent="0.2">
      <c r="B79" s="138" t="s">
        <v>94</v>
      </c>
      <c r="C79" s="199"/>
      <c r="D79" s="196"/>
      <c r="E79" s="902"/>
      <c r="F79" s="234"/>
      <c r="G79" s="298"/>
      <c r="H79" s="388"/>
      <c r="I79" s="381"/>
      <c r="J79" s="234"/>
      <c r="K79" s="298"/>
      <c r="L79" s="234"/>
      <c r="M79" s="298"/>
      <c r="N79" s="388"/>
      <c r="O79" s="381"/>
      <c r="P79" s="388"/>
      <c r="Q79" s="381"/>
      <c r="R79" s="386"/>
      <c r="S79" s="381"/>
      <c r="T79" s="386"/>
      <c r="U79" s="381"/>
      <c r="V79" s="386"/>
      <c r="W79" s="381"/>
      <c r="X79" s="386"/>
      <c r="Y79" s="381"/>
      <c r="Z79" s="386"/>
      <c r="AA79" s="583"/>
      <c r="AB79" s="666"/>
      <c r="AC79" s="692"/>
    </row>
    <row r="80" spans="2:29" ht="12" x14ac:dyDescent="0.2">
      <c r="B80" s="130" t="s">
        <v>82</v>
      </c>
      <c r="C80" s="205">
        <v>5</v>
      </c>
      <c r="D80" s="196">
        <f t="shared" si="18"/>
        <v>0.41666666666666669</v>
      </c>
      <c r="E80" s="521">
        <v>5</v>
      </c>
      <c r="F80" s="234">
        <f>E80/F$66</f>
        <v>0.41666666666666669</v>
      </c>
      <c r="G80" s="340">
        <v>5</v>
      </c>
      <c r="H80" s="388">
        <f>G80/H$66</f>
        <v>0.38461538461538464</v>
      </c>
      <c r="I80" s="380">
        <v>6</v>
      </c>
      <c r="J80" s="234">
        <f>I80/J$66</f>
        <v>0.46153846153846156</v>
      </c>
      <c r="K80" s="340">
        <v>5</v>
      </c>
      <c r="L80" s="234">
        <f>K80/L$66</f>
        <v>0.35714285714285715</v>
      </c>
      <c r="M80" s="340">
        <v>4</v>
      </c>
      <c r="N80" s="388">
        <f>M80/N$66</f>
        <v>0.26666666666666666</v>
      </c>
      <c r="O80" s="380">
        <v>5</v>
      </c>
      <c r="P80" s="388">
        <f>O80/P$66</f>
        <v>0.45454545454545453</v>
      </c>
      <c r="Q80" s="380">
        <v>5</v>
      </c>
      <c r="R80" s="386">
        <f>Q80/R$66</f>
        <v>0.33333333333333331</v>
      </c>
      <c r="S80" s="380">
        <f>5</f>
        <v>5</v>
      </c>
      <c r="T80" s="386">
        <f>S80/T$66</f>
        <v>0.3125</v>
      </c>
      <c r="U80" s="380">
        <v>5</v>
      </c>
      <c r="V80" s="386">
        <f>U80/V$66</f>
        <v>0.3125</v>
      </c>
      <c r="W80" s="380">
        <v>7</v>
      </c>
      <c r="X80" s="386">
        <f>W80/X$66</f>
        <v>0.4375</v>
      </c>
      <c r="Y80" s="380">
        <v>8</v>
      </c>
      <c r="Z80" s="386">
        <f>Y80/Z$66</f>
        <v>0.5</v>
      </c>
      <c r="AA80" s="583"/>
      <c r="AB80" s="666">
        <f t="shared" ref="AB80:AB82" si="21">AVERAGE(W80,U80,S80,Q80,Y80)</f>
        <v>6</v>
      </c>
      <c r="AC80" s="692">
        <f t="shared" ref="AC80:AC82" si="22">AVERAGE(X80,V80,T80,R80,Z80)</f>
        <v>0.37916666666666665</v>
      </c>
    </row>
    <row r="81" spans="1:30" ht="12" x14ac:dyDescent="0.2">
      <c r="B81" s="130" t="s">
        <v>83</v>
      </c>
      <c r="C81" s="205">
        <v>1</v>
      </c>
      <c r="D81" s="196">
        <f t="shared" si="18"/>
        <v>8.3333333333333329E-2</v>
      </c>
      <c r="E81" s="521">
        <v>3</v>
      </c>
      <c r="F81" s="234">
        <f>E81/F$66</f>
        <v>0.25</v>
      </c>
      <c r="G81" s="340">
        <v>3</v>
      </c>
      <c r="H81" s="388">
        <f>G81/H$66</f>
        <v>0.23076923076923078</v>
      </c>
      <c r="I81" s="380">
        <v>2</v>
      </c>
      <c r="J81" s="234">
        <f>I81/J$66</f>
        <v>0.15384615384615385</v>
      </c>
      <c r="K81" s="340">
        <v>3</v>
      </c>
      <c r="L81" s="234">
        <f>K81/L$66</f>
        <v>0.21428571428571427</v>
      </c>
      <c r="M81" s="340">
        <v>4</v>
      </c>
      <c r="N81" s="388">
        <f>M81/N$66</f>
        <v>0.26666666666666666</v>
      </c>
      <c r="O81" s="380">
        <v>3</v>
      </c>
      <c r="P81" s="388">
        <f>O81/P$66</f>
        <v>0.27272727272727271</v>
      </c>
      <c r="Q81" s="380">
        <v>4</v>
      </c>
      <c r="R81" s="386">
        <f>Q81/R$66</f>
        <v>0.26666666666666666</v>
      </c>
      <c r="S81" s="380">
        <f>5</f>
        <v>5</v>
      </c>
      <c r="T81" s="386">
        <f>S81/T$66</f>
        <v>0.3125</v>
      </c>
      <c r="U81" s="380">
        <v>4</v>
      </c>
      <c r="V81" s="386">
        <f>U81/V$66</f>
        <v>0.25</v>
      </c>
      <c r="W81" s="380">
        <v>2</v>
      </c>
      <c r="X81" s="386">
        <f>W81/X$66</f>
        <v>0.125</v>
      </c>
      <c r="Y81" s="380">
        <v>2</v>
      </c>
      <c r="Z81" s="386">
        <f>Y81/Z$66</f>
        <v>0.125</v>
      </c>
      <c r="AA81" s="583"/>
      <c r="AB81" s="666">
        <f t="shared" si="21"/>
        <v>3.4</v>
      </c>
      <c r="AC81" s="692">
        <f t="shared" si="22"/>
        <v>0.21583333333333332</v>
      </c>
    </row>
    <row r="82" spans="1:30" ht="12" x14ac:dyDescent="0.2">
      <c r="B82" s="130" t="s">
        <v>84</v>
      </c>
      <c r="C82" s="205">
        <v>6</v>
      </c>
      <c r="D82" s="196">
        <f t="shared" si="18"/>
        <v>0.5</v>
      </c>
      <c r="E82" s="521">
        <v>4</v>
      </c>
      <c r="F82" s="234">
        <f>E82/F$66</f>
        <v>0.33333333333333331</v>
      </c>
      <c r="G82" s="340">
        <v>5</v>
      </c>
      <c r="H82" s="388">
        <f>G82/H$66</f>
        <v>0.38461538461538464</v>
      </c>
      <c r="I82" s="380">
        <v>5</v>
      </c>
      <c r="J82" s="234">
        <f>I82/J$66</f>
        <v>0.38461538461538464</v>
      </c>
      <c r="K82" s="340">
        <v>6</v>
      </c>
      <c r="L82" s="234">
        <f>K82/L$66</f>
        <v>0.42857142857142855</v>
      </c>
      <c r="M82" s="340">
        <f>6+1</f>
        <v>7</v>
      </c>
      <c r="N82" s="388">
        <f>M82/N$66</f>
        <v>0.46666666666666667</v>
      </c>
      <c r="O82" s="380">
        <v>6</v>
      </c>
      <c r="P82" s="388">
        <f>O82/P$66</f>
        <v>0.54545454545454541</v>
      </c>
      <c r="Q82" s="380">
        <v>6</v>
      </c>
      <c r="R82" s="386">
        <f>Q82/R$66</f>
        <v>0.4</v>
      </c>
      <c r="S82" s="380">
        <f>1+5</f>
        <v>6</v>
      </c>
      <c r="T82" s="386">
        <f>S82/T$66</f>
        <v>0.375</v>
      </c>
      <c r="U82" s="380">
        <v>7</v>
      </c>
      <c r="V82" s="386">
        <f>U82/V$66</f>
        <v>0.4375</v>
      </c>
      <c r="W82" s="380">
        <v>7</v>
      </c>
      <c r="X82" s="386">
        <f>W82/X$66</f>
        <v>0.4375</v>
      </c>
      <c r="Y82" s="380">
        <v>6</v>
      </c>
      <c r="Z82" s="386">
        <f>Y82/Z$66</f>
        <v>0.375</v>
      </c>
      <c r="AA82" s="583"/>
      <c r="AB82" s="666">
        <f t="shared" si="21"/>
        <v>6.4</v>
      </c>
      <c r="AC82" s="692">
        <f t="shared" si="22"/>
        <v>0.40499999999999997</v>
      </c>
    </row>
    <row r="83" spans="1:30" ht="12" x14ac:dyDescent="0.2">
      <c r="B83" s="138" t="s">
        <v>95</v>
      </c>
      <c r="C83" s="199"/>
      <c r="D83" s="196"/>
      <c r="E83" s="902"/>
      <c r="F83" s="234"/>
      <c r="G83" s="298"/>
      <c r="H83" s="388"/>
      <c r="I83" s="381"/>
      <c r="J83" s="234"/>
      <c r="K83" s="298"/>
      <c r="L83" s="234"/>
      <c r="M83" s="298"/>
      <c r="N83" s="388"/>
      <c r="O83" s="381"/>
      <c r="P83" s="388"/>
      <c r="Q83" s="381"/>
      <c r="R83" s="386"/>
      <c r="S83" s="381"/>
      <c r="T83" s="386"/>
      <c r="U83" s="381"/>
      <c r="V83" s="386"/>
      <c r="W83" s="381"/>
      <c r="X83" s="386"/>
      <c r="Y83" s="381"/>
      <c r="Z83" s="386"/>
      <c r="AA83" s="583"/>
      <c r="AB83" s="666"/>
      <c r="AC83" s="692"/>
    </row>
    <row r="84" spans="1:30" ht="12" x14ac:dyDescent="0.2">
      <c r="B84" s="130" t="s">
        <v>85</v>
      </c>
      <c r="C84" s="205">
        <v>7</v>
      </c>
      <c r="D84" s="196">
        <f t="shared" si="18"/>
        <v>0.58333333333333337</v>
      </c>
      <c r="E84" s="521">
        <v>8</v>
      </c>
      <c r="F84" s="234">
        <f>E84/F$66</f>
        <v>0.66666666666666663</v>
      </c>
      <c r="G84" s="340">
        <v>8</v>
      </c>
      <c r="H84" s="388">
        <f>G84/H$66</f>
        <v>0.61538461538461542</v>
      </c>
      <c r="I84" s="380">
        <v>8</v>
      </c>
      <c r="J84" s="234">
        <f>I84/J$66</f>
        <v>0.61538461538461542</v>
      </c>
      <c r="K84" s="340">
        <v>9</v>
      </c>
      <c r="L84" s="234">
        <f>K84/L$66</f>
        <v>0.6428571428571429</v>
      </c>
      <c r="M84" s="340">
        <f>9+1</f>
        <v>10</v>
      </c>
      <c r="N84" s="388">
        <f>M84/N$66</f>
        <v>0.66666666666666663</v>
      </c>
      <c r="O84" s="380">
        <v>9</v>
      </c>
      <c r="P84" s="388">
        <f>O84/P$66</f>
        <v>0.81818181818181823</v>
      </c>
      <c r="Q84" s="380">
        <v>10</v>
      </c>
      <c r="R84" s="386">
        <f>Q84/R$66</f>
        <v>0.66666666666666663</v>
      </c>
      <c r="S84" s="380">
        <f>11</f>
        <v>11</v>
      </c>
      <c r="T84" s="386">
        <f>S84/T$66</f>
        <v>0.6875</v>
      </c>
      <c r="U84" s="380">
        <v>10</v>
      </c>
      <c r="V84" s="386">
        <f>U84/V$66</f>
        <v>0.625</v>
      </c>
      <c r="W84" s="380">
        <v>10</v>
      </c>
      <c r="X84" s="386">
        <f>W84/X$66</f>
        <v>0.625</v>
      </c>
      <c r="Y84" s="380">
        <v>11</v>
      </c>
      <c r="Z84" s="386">
        <f>Y84/Z$66</f>
        <v>0.6875</v>
      </c>
      <c r="AA84" s="583"/>
      <c r="AB84" s="666">
        <f t="shared" ref="AB84:AB87" si="23">AVERAGE(W84,U84,S84,Q84,Y84)</f>
        <v>10.4</v>
      </c>
      <c r="AC84" s="692">
        <f t="shared" ref="AC84:AC87" si="24">AVERAGE(X84,V84,T84,R84,Z84)</f>
        <v>0.65833333333333333</v>
      </c>
    </row>
    <row r="85" spans="1:30" ht="12" x14ac:dyDescent="0.2">
      <c r="B85" s="130" t="s">
        <v>86</v>
      </c>
      <c r="C85" s="205">
        <v>5</v>
      </c>
      <c r="D85" s="196">
        <f t="shared" si="18"/>
        <v>0.41666666666666669</v>
      </c>
      <c r="E85" s="521">
        <v>4</v>
      </c>
      <c r="F85" s="234">
        <f>E85/F$66</f>
        <v>0.33333333333333331</v>
      </c>
      <c r="G85" s="340">
        <v>5</v>
      </c>
      <c r="H85" s="388">
        <f>G85/H$66</f>
        <v>0.38461538461538464</v>
      </c>
      <c r="I85" s="380">
        <v>5</v>
      </c>
      <c r="J85" s="234">
        <f>I85/J$66</f>
        <v>0.38461538461538464</v>
      </c>
      <c r="K85" s="340">
        <v>5</v>
      </c>
      <c r="L85" s="234">
        <f>K85/L$66</f>
        <v>0.35714285714285715</v>
      </c>
      <c r="M85" s="340">
        <v>5</v>
      </c>
      <c r="N85" s="388">
        <f>M85/N$66</f>
        <v>0.33333333333333331</v>
      </c>
      <c r="O85" s="380">
        <v>5</v>
      </c>
      <c r="P85" s="388">
        <f>O85/P$66</f>
        <v>0.45454545454545453</v>
      </c>
      <c r="Q85" s="380">
        <v>5</v>
      </c>
      <c r="R85" s="386">
        <f>Q85/R$66</f>
        <v>0.33333333333333331</v>
      </c>
      <c r="S85" s="380">
        <f>1+4</f>
        <v>5</v>
      </c>
      <c r="T85" s="386">
        <f>S85/T$66</f>
        <v>0.3125</v>
      </c>
      <c r="U85" s="380">
        <v>6</v>
      </c>
      <c r="V85" s="386">
        <f>U85/V$66</f>
        <v>0.375</v>
      </c>
      <c r="W85" s="380">
        <v>6</v>
      </c>
      <c r="X85" s="386">
        <f>W85/X$66</f>
        <v>0.375</v>
      </c>
      <c r="Y85" s="380">
        <v>5</v>
      </c>
      <c r="Z85" s="386">
        <f>Y85/Z$66</f>
        <v>0.3125</v>
      </c>
      <c r="AA85" s="583"/>
      <c r="AB85" s="666">
        <f t="shared" si="23"/>
        <v>5.4</v>
      </c>
      <c r="AC85" s="692">
        <f t="shared" si="24"/>
        <v>0.34166666666666667</v>
      </c>
    </row>
    <row r="86" spans="1:30" ht="12" x14ac:dyDescent="0.2">
      <c r="B86" s="130" t="s">
        <v>87</v>
      </c>
      <c r="C86" s="205">
        <v>0</v>
      </c>
      <c r="D86" s="196">
        <f t="shared" si="18"/>
        <v>0</v>
      </c>
      <c r="E86" s="521">
        <v>0</v>
      </c>
      <c r="F86" s="234">
        <f>E86/F$66</f>
        <v>0</v>
      </c>
      <c r="G86" s="340">
        <v>0</v>
      </c>
      <c r="H86" s="388">
        <f>G86/H$66</f>
        <v>0</v>
      </c>
      <c r="I86" s="380">
        <v>0</v>
      </c>
      <c r="J86" s="234">
        <f>I86/J$66</f>
        <v>0</v>
      </c>
      <c r="K86" s="340">
        <v>0</v>
      </c>
      <c r="L86" s="234">
        <f>K86/L$66</f>
        <v>0</v>
      </c>
      <c r="M86" s="340">
        <v>0</v>
      </c>
      <c r="N86" s="388">
        <f>M86/N$66</f>
        <v>0</v>
      </c>
      <c r="O86" s="380">
        <v>0</v>
      </c>
      <c r="P86" s="388">
        <f>O86/P$66</f>
        <v>0</v>
      </c>
      <c r="Q86" s="380">
        <v>0</v>
      </c>
      <c r="R86" s="386">
        <f>Q86/R$66</f>
        <v>0</v>
      </c>
      <c r="S86" s="380">
        <f>0</f>
        <v>0</v>
      </c>
      <c r="T86" s="386">
        <f>S86/T$66</f>
        <v>0</v>
      </c>
      <c r="U86" s="380">
        <v>0</v>
      </c>
      <c r="V86" s="386">
        <f>U86/V$66</f>
        <v>0</v>
      </c>
      <c r="W86" s="380">
        <v>0</v>
      </c>
      <c r="X86" s="386">
        <f>W86/X$66</f>
        <v>0</v>
      </c>
      <c r="Y86" s="380">
        <v>0</v>
      </c>
      <c r="Z86" s="386">
        <f>Y86/Z$66</f>
        <v>0</v>
      </c>
      <c r="AA86" s="583"/>
      <c r="AB86" s="666">
        <f t="shared" si="23"/>
        <v>0</v>
      </c>
      <c r="AC86" s="692">
        <f t="shared" si="24"/>
        <v>0</v>
      </c>
    </row>
    <row r="87" spans="1:30" thickBot="1" x14ac:dyDescent="0.25">
      <c r="B87" s="139" t="s">
        <v>88</v>
      </c>
      <c r="C87" s="200">
        <v>0</v>
      </c>
      <c r="D87" s="201">
        <f t="shared" si="18"/>
        <v>0</v>
      </c>
      <c r="E87" s="903">
        <v>0</v>
      </c>
      <c r="F87" s="295">
        <f>E87/F$66</f>
        <v>0</v>
      </c>
      <c r="G87" s="341">
        <v>0</v>
      </c>
      <c r="H87" s="389">
        <f>G87/H$66</f>
        <v>0</v>
      </c>
      <c r="I87" s="382">
        <v>0</v>
      </c>
      <c r="J87" s="295">
        <f>I87/J$66</f>
        <v>0</v>
      </c>
      <c r="K87" s="341">
        <v>0</v>
      </c>
      <c r="L87" s="295">
        <f>K87/L$66</f>
        <v>0</v>
      </c>
      <c r="M87" s="341">
        <v>0</v>
      </c>
      <c r="N87" s="389">
        <f>M87/N$66</f>
        <v>0</v>
      </c>
      <c r="O87" s="382">
        <v>0</v>
      </c>
      <c r="P87" s="389">
        <f>O87/P$66</f>
        <v>0</v>
      </c>
      <c r="Q87" s="382">
        <v>0</v>
      </c>
      <c r="R87" s="409">
        <f>Q87/R$66</f>
        <v>0</v>
      </c>
      <c r="S87" s="382">
        <f>0</f>
        <v>0</v>
      </c>
      <c r="T87" s="409">
        <f>S87/T$66</f>
        <v>0</v>
      </c>
      <c r="U87" s="382">
        <v>0</v>
      </c>
      <c r="V87" s="409">
        <f>U87/V$66</f>
        <v>0</v>
      </c>
      <c r="W87" s="382">
        <v>0</v>
      </c>
      <c r="X87" s="409">
        <f>W87/X$66</f>
        <v>0</v>
      </c>
      <c r="Y87" s="382">
        <v>0</v>
      </c>
      <c r="Z87" s="409">
        <f>Y87/Z$66</f>
        <v>0</v>
      </c>
      <c r="AA87" s="583"/>
      <c r="AB87" s="667">
        <f t="shared" si="23"/>
        <v>0</v>
      </c>
      <c r="AC87" s="693">
        <f t="shared" si="24"/>
        <v>0</v>
      </c>
    </row>
    <row r="88" spans="1:30" thickTop="1" x14ac:dyDescent="0.2">
      <c r="A88" s="583"/>
      <c r="B88" s="613" t="s">
        <v>115</v>
      </c>
      <c r="C88" s="119"/>
      <c r="D88" s="619"/>
      <c r="E88" s="904"/>
      <c r="F88" s="617"/>
      <c r="G88" s="582"/>
      <c r="H88" s="617"/>
      <c r="I88" s="582"/>
      <c r="J88" s="617"/>
      <c r="K88" s="582"/>
      <c r="L88" s="617"/>
      <c r="M88" s="611"/>
      <c r="N88" s="825"/>
      <c r="O88" s="611"/>
      <c r="P88" s="825"/>
      <c r="Q88" s="611"/>
      <c r="R88" s="981"/>
      <c r="S88" s="611"/>
      <c r="T88" s="981"/>
      <c r="U88" s="611"/>
      <c r="V88" s="981"/>
      <c r="W88" s="611"/>
      <c r="X88" s="981"/>
      <c r="Y88" s="611"/>
      <c r="Z88" s="981"/>
      <c r="AA88" s="583"/>
      <c r="AC88" s="583"/>
    </row>
    <row r="89" spans="1:30" ht="12" x14ac:dyDescent="0.2">
      <c r="A89" s="583"/>
      <c r="B89" s="614"/>
      <c r="C89" s="120" t="s">
        <v>89</v>
      </c>
      <c r="D89" s="618" t="s">
        <v>16</v>
      </c>
      <c r="E89" s="905" t="s">
        <v>89</v>
      </c>
      <c r="F89" s="618" t="s">
        <v>16</v>
      </c>
      <c r="G89" s="120" t="s">
        <v>89</v>
      </c>
      <c r="H89" s="618" t="s">
        <v>16</v>
      </c>
      <c r="I89" s="120" t="s">
        <v>89</v>
      </c>
      <c r="J89" s="618" t="s">
        <v>16</v>
      </c>
      <c r="K89" s="120" t="s">
        <v>89</v>
      </c>
      <c r="L89" s="618" t="s">
        <v>16</v>
      </c>
      <c r="M89" s="120" t="s">
        <v>89</v>
      </c>
      <c r="N89" s="618" t="s">
        <v>16</v>
      </c>
      <c r="O89" s="1128" t="s">
        <v>89</v>
      </c>
      <c r="P89" s="1129" t="s">
        <v>16</v>
      </c>
      <c r="Q89" s="1130" t="s">
        <v>89</v>
      </c>
      <c r="R89" s="1129" t="s">
        <v>16</v>
      </c>
      <c r="S89" s="1130" t="s">
        <v>89</v>
      </c>
      <c r="T89" s="1129" t="s">
        <v>16</v>
      </c>
      <c r="U89" s="1130" t="s">
        <v>89</v>
      </c>
      <c r="V89" s="1129" t="s">
        <v>16</v>
      </c>
      <c r="W89" s="1130" t="s">
        <v>89</v>
      </c>
      <c r="X89" s="1129" t="s">
        <v>16</v>
      </c>
      <c r="Y89" s="1130" t="s">
        <v>89</v>
      </c>
      <c r="Z89" s="1129" t="s">
        <v>16</v>
      </c>
      <c r="AA89" s="583"/>
      <c r="AB89" s="1131" t="s">
        <v>89</v>
      </c>
      <c r="AC89" s="1132" t="s">
        <v>16</v>
      </c>
    </row>
    <row r="90" spans="1:30" ht="12" x14ac:dyDescent="0.2">
      <c r="A90" s="583"/>
      <c r="B90" s="615" t="s">
        <v>116</v>
      </c>
      <c r="C90" s="119">
        <v>0</v>
      </c>
      <c r="D90" s="771">
        <v>0</v>
      </c>
      <c r="E90" s="904">
        <v>0</v>
      </c>
      <c r="F90" s="769">
        <v>0</v>
      </c>
      <c r="G90" s="272">
        <v>0</v>
      </c>
      <c r="H90" s="620">
        <v>0</v>
      </c>
      <c r="I90" s="272">
        <v>0</v>
      </c>
      <c r="J90" s="620">
        <v>0</v>
      </c>
      <c r="K90" s="120">
        <v>0</v>
      </c>
      <c r="L90" s="620">
        <v>0</v>
      </c>
      <c r="M90" s="766">
        <v>1</v>
      </c>
      <c r="N90" s="632">
        <v>0.3</v>
      </c>
      <c r="O90" s="766">
        <v>1</v>
      </c>
      <c r="P90" s="632">
        <v>0.3</v>
      </c>
      <c r="Q90" s="766">
        <v>0</v>
      </c>
      <c r="R90" s="377">
        <v>0</v>
      </c>
      <c r="S90" s="766">
        <v>2</v>
      </c>
      <c r="T90" s="377">
        <v>0.8</v>
      </c>
      <c r="U90" s="766">
        <v>1</v>
      </c>
      <c r="V90" s="377">
        <v>0.3</v>
      </c>
      <c r="W90" s="766">
        <v>2</v>
      </c>
      <c r="X90" s="377">
        <v>0.4</v>
      </c>
      <c r="Y90" s="766">
        <v>3</v>
      </c>
      <c r="Z90" s="377">
        <v>0.9</v>
      </c>
      <c r="AA90" s="583"/>
      <c r="AB90" s="786">
        <f t="shared" ref="AB90:AB92" si="25">AVERAGE(W90,U90,S90,Q90,Y90)</f>
        <v>1.6</v>
      </c>
      <c r="AC90" s="787">
        <f t="shared" ref="AC90:AC92" si="26">AVERAGE(X90,V90,T90,R90,Z90)</f>
        <v>0.48</v>
      </c>
    </row>
    <row r="91" spans="1:30" ht="12" x14ac:dyDescent="0.2">
      <c r="A91" s="583"/>
      <c r="B91" s="615" t="s">
        <v>117</v>
      </c>
      <c r="C91" s="119">
        <v>5</v>
      </c>
      <c r="D91" s="771">
        <v>2.5</v>
      </c>
      <c r="E91" s="904">
        <v>5</v>
      </c>
      <c r="F91" s="769">
        <v>2.5</v>
      </c>
      <c r="G91" s="272">
        <v>5</v>
      </c>
      <c r="H91" s="620">
        <v>2.5</v>
      </c>
      <c r="I91" s="272">
        <v>5</v>
      </c>
      <c r="J91" s="620">
        <v>2.5</v>
      </c>
      <c r="K91" s="120">
        <v>6</v>
      </c>
      <c r="L91" s="620">
        <v>2.4</v>
      </c>
      <c r="M91" s="766">
        <v>5</v>
      </c>
      <c r="N91" s="632">
        <v>2.2000000000000002</v>
      </c>
      <c r="O91" s="766">
        <v>5</v>
      </c>
      <c r="P91" s="632">
        <v>2.2000000000000002</v>
      </c>
      <c r="Q91" s="766">
        <v>5</v>
      </c>
      <c r="R91" s="377">
        <v>2.2999999999999998</v>
      </c>
      <c r="S91" s="766">
        <v>5</v>
      </c>
      <c r="T91" s="377">
        <v>2.2000000000000002</v>
      </c>
      <c r="U91" s="766">
        <v>3</v>
      </c>
      <c r="V91" s="377">
        <v>1.5</v>
      </c>
      <c r="W91" s="766">
        <v>3</v>
      </c>
      <c r="X91" s="377">
        <v>1.1000000000000001</v>
      </c>
      <c r="Y91" s="766">
        <v>6</v>
      </c>
      <c r="Z91" s="377">
        <v>2.6</v>
      </c>
      <c r="AA91" s="583"/>
      <c r="AB91" s="786">
        <f t="shared" si="25"/>
        <v>4.4000000000000004</v>
      </c>
      <c r="AC91" s="787">
        <f t="shared" si="26"/>
        <v>1.9400000000000002</v>
      </c>
    </row>
    <row r="92" spans="1:30" thickBot="1" x14ac:dyDescent="0.25">
      <c r="A92" s="583"/>
      <c r="B92" s="616" t="s">
        <v>147</v>
      </c>
      <c r="C92" s="586">
        <v>0</v>
      </c>
      <c r="D92" s="772">
        <v>0</v>
      </c>
      <c r="E92" s="906">
        <v>0</v>
      </c>
      <c r="F92" s="770">
        <v>0</v>
      </c>
      <c r="G92" s="789">
        <v>0</v>
      </c>
      <c r="H92" s="621">
        <v>0</v>
      </c>
      <c r="I92" s="789">
        <v>0</v>
      </c>
      <c r="J92" s="621">
        <v>0</v>
      </c>
      <c r="K92" s="584">
        <v>0</v>
      </c>
      <c r="L92" s="621">
        <v>0</v>
      </c>
      <c r="M92" s="768">
        <v>0</v>
      </c>
      <c r="N92" s="859">
        <v>0</v>
      </c>
      <c r="O92" s="768">
        <v>0</v>
      </c>
      <c r="P92" s="859">
        <v>0</v>
      </c>
      <c r="Q92" s="768">
        <v>0</v>
      </c>
      <c r="R92" s="982">
        <v>0</v>
      </c>
      <c r="S92" s="768">
        <v>0</v>
      </c>
      <c r="T92" s="982">
        <v>0</v>
      </c>
      <c r="U92" s="768">
        <v>0</v>
      </c>
      <c r="V92" s="982">
        <v>0</v>
      </c>
      <c r="W92" s="768">
        <v>0</v>
      </c>
      <c r="X92" s="982">
        <v>0</v>
      </c>
      <c r="Y92" s="768">
        <v>0</v>
      </c>
      <c r="Z92" s="982">
        <v>0</v>
      </c>
      <c r="AA92" s="583"/>
      <c r="AB92" s="790">
        <f t="shared" si="25"/>
        <v>0</v>
      </c>
      <c r="AC92" s="791">
        <f t="shared" si="26"/>
        <v>0</v>
      </c>
    </row>
    <row r="93" spans="1:30" ht="14.25" customHeight="1" thickTop="1" thickBot="1" x14ac:dyDescent="0.3">
      <c r="A93" s="626"/>
      <c r="B93" s="628"/>
      <c r="C93" s="1141" t="s">
        <v>41</v>
      </c>
      <c r="D93" s="1160"/>
      <c r="E93" s="1141" t="s">
        <v>42</v>
      </c>
      <c r="F93" s="1160"/>
      <c r="G93" s="1145" t="s">
        <v>132</v>
      </c>
      <c r="H93" s="1163"/>
      <c r="I93" s="1145" t="s">
        <v>133</v>
      </c>
      <c r="J93" s="1166"/>
      <c r="K93" s="1145" t="s">
        <v>134</v>
      </c>
      <c r="L93" s="1166"/>
      <c r="M93" s="1149" t="s">
        <v>135</v>
      </c>
      <c r="N93" s="1163"/>
      <c r="O93" s="1135" t="s">
        <v>171</v>
      </c>
      <c r="P93" s="1136"/>
      <c r="Q93" s="1135" t="s">
        <v>170</v>
      </c>
      <c r="R93" s="1163"/>
      <c r="S93" s="1135" t="s">
        <v>177</v>
      </c>
      <c r="T93" s="1163"/>
      <c r="U93" s="1135" t="s">
        <v>180</v>
      </c>
      <c r="V93" s="1163"/>
      <c r="W93" s="1135" t="s">
        <v>184</v>
      </c>
      <c r="X93" s="1163"/>
      <c r="Y93" s="1135" t="s">
        <v>67</v>
      </c>
      <c r="Z93" s="1163"/>
      <c r="AA93" s="964"/>
      <c r="AB93" s="103"/>
      <c r="AC93" s="605"/>
      <c r="AD93" s="59"/>
    </row>
    <row r="94" spans="1:30" x14ac:dyDescent="0.2">
      <c r="B94" s="627" t="s">
        <v>143</v>
      </c>
      <c r="C94" s="1"/>
      <c r="D94" s="639"/>
      <c r="E94" s="897"/>
      <c r="F94" s="688"/>
      <c r="G94" s="661"/>
      <c r="H94" s="662"/>
      <c r="I94" s="631"/>
      <c r="J94" s="632"/>
      <c r="K94" s="630"/>
      <c r="L94" s="659"/>
      <c r="M94" s="630"/>
      <c r="N94" s="657"/>
      <c r="O94" s="947"/>
      <c r="P94" s="948"/>
      <c r="Q94" s="1044"/>
      <c r="R94" s="1045"/>
      <c r="S94" s="1044"/>
      <c r="T94" s="1045"/>
      <c r="U94" s="245"/>
      <c r="V94" s="918"/>
      <c r="W94" s="1044"/>
      <c r="X94" s="1045"/>
      <c r="Y94" s="1044"/>
      <c r="Z94" s="1045"/>
      <c r="AA94" s="59"/>
      <c r="AB94" s="59"/>
      <c r="AC94" s="59"/>
    </row>
    <row r="95" spans="1:30" x14ac:dyDescent="0.2">
      <c r="A95" s="583"/>
      <c r="B95" s="651" t="s">
        <v>122</v>
      </c>
      <c r="C95" s="1183">
        <v>3.25</v>
      </c>
      <c r="D95" s="1184"/>
      <c r="E95" s="898"/>
      <c r="F95" s="756"/>
      <c r="G95" s="757"/>
      <c r="H95" s="758"/>
      <c r="I95" s="1186">
        <v>3.45</v>
      </c>
      <c r="J95" s="1187"/>
      <c r="K95" s="638"/>
      <c r="L95" s="690"/>
      <c r="M95" s="638"/>
      <c r="N95" s="657"/>
      <c r="O95" s="952"/>
      <c r="P95" s="953">
        <v>8.9</v>
      </c>
      <c r="Q95" s="1046"/>
      <c r="R95" s="1045"/>
      <c r="S95" s="1046"/>
      <c r="T95" s="1045"/>
      <c r="U95" s="253"/>
      <c r="V95" s="953">
        <v>8</v>
      </c>
      <c r="W95" s="1046"/>
      <c r="X95" s="1045"/>
      <c r="Y95" s="1046"/>
      <c r="Z95" s="1045"/>
      <c r="AA95" s="59"/>
      <c r="AB95" s="59"/>
      <c r="AC95" s="949"/>
    </row>
    <row r="96" spans="1:30" ht="12" x14ac:dyDescent="0.2">
      <c r="A96" s="583"/>
      <c r="B96" s="652" t="s">
        <v>123</v>
      </c>
      <c r="C96" s="1183">
        <v>2.5</v>
      </c>
      <c r="D96" s="1184"/>
      <c r="E96" s="898"/>
      <c r="F96" s="756"/>
      <c r="G96" s="757"/>
      <c r="H96" s="758"/>
      <c r="I96" s="1186">
        <v>2.5</v>
      </c>
      <c r="J96" s="1187"/>
      <c r="K96" s="638"/>
      <c r="L96" s="690"/>
      <c r="M96" s="638"/>
      <c r="N96" s="657"/>
      <c r="O96" s="952"/>
      <c r="P96" s="953"/>
      <c r="Q96" s="1046"/>
      <c r="R96" s="1045"/>
      <c r="S96" s="1046"/>
      <c r="T96" s="1045"/>
      <c r="U96" s="253"/>
      <c r="V96" s="953"/>
      <c r="W96" s="1046"/>
      <c r="X96" s="1045"/>
      <c r="Y96" s="1046"/>
      <c r="Z96" s="1045"/>
      <c r="AA96" s="59"/>
      <c r="AB96" s="59"/>
      <c r="AC96" s="949"/>
    </row>
    <row r="97" spans="1:29" ht="12" x14ac:dyDescent="0.2">
      <c r="A97" s="583"/>
      <c r="B97" s="652" t="s">
        <v>124</v>
      </c>
      <c r="C97" s="1185"/>
      <c r="D97" s="1184"/>
      <c r="E97" s="898"/>
      <c r="F97" s="756"/>
      <c r="G97" s="757"/>
      <c r="H97" s="758"/>
      <c r="I97" s="1190"/>
      <c r="J97" s="1187"/>
      <c r="K97" s="638"/>
      <c r="L97" s="690"/>
      <c r="M97" s="638"/>
      <c r="N97" s="657"/>
      <c r="O97" s="952"/>
      <c r="P97" s="953">
        <v>2</v>
      </c>
      <c r="Q97" s="1046"/>
      <c r="R97" s="1045"/>
      <c r="S97" s="1046"/>
      <c r="T97" s="1045"/>
      <c r="U97" s="253"/>
      <c r="V97" s="953">
        <v>2</v>
      </c>
      <c r="W97" s="1046"/>
      <c r="X97" s="1045"/>
      <c r="Y97" s="1046"/>
      <c r="Z97" s="1045"/>
      <c r="AA97" s="59"/>
      <c r="AB97" s="59"/>
      <c r="AC97" s="949"/>
    </row>
    <row r="98" spans="1:29" x14ac:dyDescent="0.2">
      <c r="A98" s="583"/>
      <c r="B98" s="651" t="s">
        <v>125</v>
      </c>
      <c r="C98" s="1183">
        <v>0</v>
      </c>
      <c r="D98" s="1184"/>
      <c r="E98" s="898"/>
      <c r="F98" s="756"/>
      <c r="G98" s="757"/>
      <c r="H98" s="758"/>
      <c r="I98" s="1186">
        <v>0</v>
      </c>
      <c r="J98" s="1187"/>
      <c r="K98" s="638"/>
      <c r="L98" s="690"/>
      <c r="M98" s="638"/>
      <c r="N98" s="657"/>
      <c r="O98" s="952"/>
      <c r="P98" s="953">
        <v>0.6</v>
      </c>
      <c r="Q98" s="1046"/>
      <c r="R98" s="1045"/>
      <c r="S98" s="1046"/>
      <c r="T98" s="1045"/>
      <c r="U98" s="253"/>
      <c r="V98" s="953">
        <v>0</v>
      </c>
      <c r="W98" s="1046"/>
      <c r="X98" s="1045"/>
      <c r="Y98" s="1046"/>
      <c r="Z98" s="1045"/>
      <c r="AA98" s="59"/>
      <c r="AB98" s="59"/>
      <c r="AC98" s="949"/>
    </row>
    <row r="99" spans="1:29" x14ac:dyDescent="0.2">
      <c r="A99" s="583"/>
      <c r="B99" s="653" t="s">
        <v>126</v>
      </c>
      <c r="C99" s="1183">
        <v>3.95</v>
      </c>
      <c r="D99" s="1184"/>
      <c r="E99" s="898"/>
      <c r="F99" s="756"/>
      <c r="G99" s="757"/>
      <c r="H99" s="758"/>
      <c r="I99" s="1186">
        <v>4.05</v>
      </c>
      <c r="J99" s="1187"/>
      <c r="K99" s="638"/>
      <c r="L99" s="690"/>
      <c r="M99" s="638"/>
      <c r="N99" s="657"/>
      <c r="O99" s="952"/>
      <c r="P99" s="953">
        <v>6</v>
      </c>
      <c r="Q99" s="1046"/>
      <c r="R99" s="1045"/>
      <c r="S99" s="1046"/>
      <c r="T99" s="1045"/>
      <c r="U99" s="253"/>
      <c r="V99" s="953">
        <f>5.75+1</f>
        <v>6.75</v>
      </c>
      <c r="W99" s="1046"/>
      <c r="X99" s="1045"/>
      <c r="Y99" s="1046"/>
      <c r="Z99" s="1045"/>
      <c r="AA99" s="59"/>
      <c r="AB99" s="59"/>
      <c r="AC99" s="949"/>
    </row>
    <row r="100" spans="1:29" x14ac:dyDescent="0.2">
      <c r="A100" s="583"/>
      <c r="B100" s="653" t="s">
        <v>127</v>
      </c>
      <c r="C100" s="1183">
        <v>9.6999999999999993</v>
      </c>
      <c r="D100" s="1184"/>
      <c r="E100" s="898"/>
      <c r="F100" s="756"/>
      <c r="G100" s="757"/>
      <c r="H100" s="758"/>
      <c r="I100" s="1186">
        <v>10</v>
      </c>
      <c r="J100" s="1187"/>
      <c r="K100" s="638"/>
      <c r="L100" s="690"/>
      <c r="M100" s="638"/>
      <c r="N100" s="657"/>
      <c r="O100" s="952"/>
      <c r="P100" s="953">
        <f>SUM(P95:P99)</f>
        <v>17.5</v>
      </c>
      <c r="Q100" s="1046"/>
      <c r="R100" s="1045"/>
      <c r="S100" s="1046"/>
      <c r="T100" s="1045"/>
      <c r="U100" s="253"/>
      <c r="V100" s="953">
        <f>SUM(V95:V99)</f>
        <v>16.75</v>
      </c>
      <c r="W100" s="1046"/>
      <c r="X100" s="1045"/>
      <c r="Y100" s="1046"/>
      <c r="Z100" s="1045"/>
      <c r="AA100" s="59"/>
      <c r="AB100" s="59"/>
      <c r="AC100" s="949"/>
    </row>
    <row r="101" spans="1:29" ht="13.5" thickBot="1" x14ac:dyDescent="0.25">
      <c r="A101" s="583"/>
      <c r="B101" s="654" t="s">
        <v>137</v>
      </c>
      <c r="C101" s="1183"/>
      <c r="D101" s="1184"/>
      <c r="E101" s="898"/>
      <c r="F101" s="756"/>
      <c r="G101" s="757"/>
      <c r="H101" s="758"/>
      <c r="I101" s="1183"/>
      <c r="J101" s="1184"/>
      <c r="K101" s="638"/>
      <c r="L101" s="690"/>
      <c r="M101" s="638"/>
      <c r="N101" s="657"/>
      <c r="O101" s="952"/>
      <c r="P101" s="918"/>
      <c r="Q101" s="1046"/>
      <c r="R101" s="1045"/>
      <c r="S101" s="1046"/>
      <c r="T101" s="1045"/>
      <c r="U101" s="253"/>
      <c r="V101" s="918"/>
      <c r="W101" s="1046"/>
      <c r="X101" s="1045"/>
      <c r="Y101" s="1046"/>
      <c r="Z101" s="1045"/>
      <c r="AA101" s="59"/>
      <c r="AB101" s="59"/>
      <c r="AC101" s="949"/>
    </row>
    <row r="102" spans="1:29" x14ac:dyDescent="0.2">
      <c r="A102" s="583"/>
      <c r="B102" s="651" t="s">
        <v>128</v>
      </c>
      <c r="C102" s="1193">
        <v>1542</v>
      </c>
      <c r="D102" s="1194">
        <v>1542</v>
      </c>
      <c r="E102" s="899"/>
      <c r="F102" s="689"/>
      <c r="G102" s="630"/>
      <c r="H102" s="657"/>
      <c r="I102" s="1193">
        <v>1755</v>
      </c>
      <c r="J102" s="1194">
        <v>1542</v>
      </c>
      <c r="K102" s="638"/>
      <c r="L102" s="690"/>
      <c r="M102" s="638"/>
      <c r="N102" s="657"/>
      <c r="O102" s="957"/>
      <c r="P102" s="958">
        <v>1729</v>
      </c>
      <c r="Q102" s="1046"/>
      <c r="R102" s="1045"/>
      <c r="S102" s="1046"/>
      <c r="T102" s="1045"/>
      <c r="U102" s="253"/>
      <c r="V102" s="958">
        <v>1704</v>
      </c>
      <c r="W102" s="1046"/>
      <c r="X102" s="1045"/>
      <c r="Y102" s="1046"/>
      <c r="Z102" s="1045"/>
      <c r="AA102" s="59"/>
      <c r="AB102" s="59"/>
      <c r="AC102" s="738"/>
    </row>
    <row r="103" spans="1:29" x14ac:dyDescent="0.2">
      <c r="A103" s="583"/>
      <c r="B103" s="653" t="s">
        <v>129</v>
      </c>
      <c r="C103" s="1193">
        <v>1170</v>
      </c>
      <c r="D103" s="1194">
        <v>1170</v>
      </c>
      <c r="E103" s="899"/>
      <c r="F103" s="689"/>
      <c r="G103" s="630"/>
      <c r="H103" s="657"/>
      <c r="I103" s="1193">
        <v>1293</v>
      </c>
      <c r="J103" s="1194">
        <v>1170</v>
      </c>
      <c r="K103" s="638"/>
      <c r="L103" s="690"/>
      <c r="M103" s="638"/>
      <c r="N103" s="657"/>
      <c r="O103" s="957"/>
      <c r="P103" s="958">
        <v>1026</v>
      </c>
      <c r="Q103" s="1046"/>
      <c r="R103" s="1045"/>
      <c r="S103" s="1046"/>
      <c r="T103" s="1045"/>
      <c r="U103" s="253"/>
      <c r="V103" s="958">
        <v>1047</v>
      </c>
      <c r="W103" s="1046"/>
      <c r="X103" s="1045"/>
      <c r="Y103" s="1046"/>
      <c r="Z103" s="1045"/>
      <c r="AA103" s="59"/>
      <c r="AB103" s="59"/>
      <c r="AC103" s="738"/>
    </row>
    <row r="104" spans="1:29" x14ac:dyDescent="0.2">
      <c r="A104" s="583"/>
      <c r="B104" s="653" t="s">
        <v>130</v>
      </c>
      <c r="C104" s="1193">
        <v>2204</v>
      </c>
      <c r="D104" s="1194">
        <v>2204</v>
      </c>
      <c r="E104" s="899"/>
      <c r="F104" s="689"/>
      <c r="G104" s="630"/>
      <c r="H104" s="657"/>
      <c r="I104" s="1193">
        <v>2369</v>
      </c>
      <c r="J104" s="1194">
        <v>2204</v>
      </c>
      <c r="K104" s="638"/>
      <c r="L104" s="690"/>
      <c r="M104" s="638"/>
      <c r="N104" s="657"/>
      <c r="O104" s="957"/>
      <c r="P104" s="958">
        <f>2695+369</f>
        <v>3064</v>
      </c>
      <c r="Q104" s="1046"/>
      <c r="R104" s="1045"/>
      <c r="S104" s="1046"/>
      <c r="T104" s="1045"/>
      <c r="U104" s="253"/>
      <c r="V104" s="958">
        <f>2819+333</f>
        <v>3152</v>
      </c>
      <c r="W104" s="1046"/>
      <c r="X104" s="1045"/>
      <c r="Y104" s="1046"/>
      <c r="Z104" s="1045"/>
      <c r="AA104" s="59"/>
      <c r="AB104" s="59"/>
      <c r="AC104" s="738"/>
    </row>
    <row r="105" spans="1:29" x14ac:dyDescent="0.2">
      <c r="A105" s="583"/>
      <c r="B105" s="653" t="s">
        <v>142</v>
      </c>
      <c r="C105" s="1193">
        <v>4916</v>
      </c>
      <c r="D105" s="1194">
        <v>4916</v>
      </c>
      <c r="E105" s="899"/>
      <c r="F105" s="689"/>
      <c r="G105" s="630"/>
      <c r="H105" s="657"/>
      <c r="I105" s="1193">
        <v>5417</v>
      </c>
      <c r="J105" s="1194">
        <v>4916</v>
      </c>
      <c r="K105" s="638"/>
      <c r="L105" s="690"/>
      <c r="M105" s="638"/>
      <c r="N105" s="657"/>
      <c r="O105" s="957"/>
      <c r="P105" s="958">
        <f>SUM(P102:P104)</f>
        <v>5819</v>
      </c>
      <c r="Q105" s="1046"/>
      <c r="R105" s="1045"/>
      <c r="S105" s="1046"/>
      <c r="T105" s="1045"/>
      <c r="U105" s="253"/>
      <c r="V105" s="958">
        <f>SUM(V102:V104)</f>
        <v>5903</v>
      </c>
      <c r="W105" s="1046"/>
      <c r="X105" s="1045"/>
      <c r="Y105" s="1046"/>
      <c r="Z105" s="1045"/>
      <c r="AA105" s="59"/>
      <c r="AB105" s="59"/>
      <c r="AC105" s="738"/>
    </row>
    <row r="106" spans="1:29" ht="13.5" thickBot="1" x14ac:dyDescent="0.25">
      <c r="A106" s="583"/>
      <c r="B106" s="654" t="s">
        <v>138</v>
      </c>
      <c r="C106" s="1186"/>
      <c r="D106" s="1155"/>
      <c r="E106" s="899"/>
      <c r="F106" s="689"/>
      <c r="G106" s="630"/>
      <c r="H106" s="657"/>
      <c r="I106" s="1186"/>
      <c r="J106" s="1155"/>
      <c r="K106" s="638"/>
      <c r="L106" s="690"/>
      <c r="M106" s="638"/>
      <c r="N106" s="657"/>
      <c r="O106" s="959"/>
      <c r="P106" s="953"/>
      <c r="Q106" s="1046"/>
      <c r="R106" s="1045"/>
      <c r="S106" s="1046"/>
      <c r="T106" s="1045"/>
      <c r="U106" s="253"/>
      <c r="V106" s="953"/>
      <c r="W106" s="1046"/>
      <c r="X106" s="1045"/>
      <c r="Y106" s="1046"/>
      <c r="Z106" s="1045"/>
      <c r="AA106" s="59"/>
      <c r="AB106" s="59"/>
      <c r="AC106" s="738"/>
    </row>
    <row r="107" spans="1:29" x14ac:dyDescent="0.2">
      <c r="A107" s="583"/>
      <c r="B107" s="651" t="s">
        <v>139</v>
      </c>
      <c r="C107" s="1186">
        <v>474.46</v>
      </c>
      <c r="D107" s="1187">
        <v>474.46153846153845</v>
      </c>
      <c r="E107" s="900"/>
      <c r="F107" s="748"/>
      <c r="G107" s="749"/>
      <c r="H107" s="750"/>
      <c r="I107" s="1191">
        <v>508.7</v>
      </c>
      <c r="J107" s="1192">
        <v>474.46153846153845</v>
      </c>
      <c r="K107" s="638"/>
      <c r="L107" s="691"/>
      <c r="M107" s="638"/>
      <c r="N107" s="657"/>
      <c r="O107" s="959"/>
      <c r="P107" s="960">
        <f>P102/P95</f>
        <v>194.2696629213483</v>
      </c>
      <c r="Q107" s="1046"/>
      <c r="R107" s="1045"/>
      <c r="S107" s="1046"/>
      <c r="T107" s="1045"/>
      <c r="U107" s="253"/>
      <c r="V107" s="960">
        <f>V102/V95</f>
        <v>213</v>
      </c>
      <c r="W107" s="1046"/>
      <c r="X107" s="1045"/>
      <c r="Y107" s="1046"/>
      <c r="Z107" s="1045"/>
      <c r="AA107" s="59"/>
      <c r="AB107" s="59"/>
      <c r="AC107" s="738"/>
    </row>
    <row r="108" spans="1:29" x14ac:dyDescent="0.2">
      <c r="A108" s="583"/>
      <c r="B108" s="653" t="s">
        <v>140</v>
      </c>
      <c r="C108" s="1186">
        <v>468</v>
      </c>
      <c r="D108" s="1187">
        <v>468</v>
      </c>
      <c r="E108" s="900"/>
      <c r="F108" s="748"/>
      <c r="G108" s="749"/>
      <c r="H108" s="750"/>
      <c r="I108" s="1191">
        <v>517.20000000000005</v>
      </c>
      <c r="J108" s="1192">
        <v>468</v>
      </c>
      <c r="K108" s="638"/>
      <c r="L108" s="691"/>
      <c r="M108" s="638"/>
      <c r="N108" s="657"/>
      <c r="O108" s="959"/>
      <c r="P108" s="960">
        <f>P103/P97</f>
        <v>513</v>
      </c>
      <c r="Q108" s="1046"/>
      <c r="R108" s="1045"/>
      <c r="S108" s="1046"/>
      <c r="T108" s="1045"/>
      <c r="U108" s="253"/>
      <c r="V108" s="960">
        <f>V103/(V97+V98)</f>
        <v>523.5</v>
      </c>
      <c r="W108" s="1046"/>
      <c r="X108" s="1045"/>
      <c r="Y108" s="1046"/>
      <c r="Z108" s="1045"/>
      <c r="AA108" s="59"/>
      <c r="AB108" s="59"/>
      <c r="AC108" s="738"/>
    </row>
    <row r="109" spans="1:29" x14ac:dyDescent="0.2">
      <c r="A109" s="583"/>
      <c r="B109" s="653" t="s">
        <v>141</v>
      </c>
      <c r="C109" s="1186">
        <v>557.97</v>
      </c>
      <c r="D109" s="1187">
        <v>557.97468354430373</v>
      </c>
      <c r="E109" s="900"/>
      <c r="F109" s="748"/>
      <c r="G109" s="749"/>
      <c r="H109" s="750"/>
      <c r="I109" s="1191">
        <v>584.94000000000005</v>
      </c>
      <c r="J109" s="1192">
        <v>557.97468354430373</v>
      </c>
      <c r="K109" s="638"/>
      <c r="L109" s="691"/>
      <c r="M109" s="638"/>
      <c r="N109" s="657"/>
      <c r="O109" s="959"/>
      <c r="P109" s="960">
        <f>P104/P99</f>
        <v>510.66666666666669</v>
      </c>
      <c r="Q109" s="1046"/>
      <c r="R109" s="1045"/>
      <c r="S109" s="1046"/>
      <c r="T109" s="1045"/>
      <c r="U109" s="253"/>
      <c r="V109" s="960">
        <f>V104/V99</f>
        <v>466.96296296296299</v>
      </c>
      <c r="W109" s="1046"/>
      <c r="X109" s="1045"/>
      <c r="Y109" s="1046"/>
      <c r="Z109" s="1045"/>
      <c r="AA109" s="59"/>
      <c r="AB109" s="59"/>
      <c r="AC109" s="738"/>
    </row>
    <row r="110" spans="1:29" ht="13.5" thickBot="1" x14ac:dyDescent="0.25">
      <c r="A110" s="583"/>
      <c r="B110" s="656" t="s">
        <v>131</v>
      </c>
      <c r="C110" s="1188">
        <v>506.8</v>
      </c>
      <c r="D110" s="1189">
        <v>506.80412371134025</v>
      </c>
      <c r="E110" s="901"/>
      <c r="F110" s="752"/>
      <c r="G110" s="753"/>
      <c r="H110" s="754"/>
      <c r="I110" s="1195">
        <v>541.70000000000005</v>
      </c>
      <c r="J110" s="1196">
        <v>506.80412371134025</v>
      </c>
      <c r="K110" s="655"/>
      <c r="L110" s="658"/>
      <c r="M110" s="655"/>
      <c r="N110" s="658"/>
      <c r="O110" s="961"/>
      <c r="P110" s="962">
        <f>P105/P100</f>
        <v>332.51428571428573</v>
      </c>
      <c r="Q110" s="1047"/>
      <c r="R110" s="1048"/>
      <c r="S110" s="1047"/>
      <c r="T110" s="1048"/>
      <c r="U110" s="301"/>
      <c r="V110" s="962">
        <f>V105/V100</f>
        <v>352.41791044776119</v>
      </c>
      <c r="W110" s="1047"/>
      <c r="X110" s="1048"/>
      <c r="Y110" s="1047"/>
      <c r="Z110" s="1048"/>
      <c r="AA110" s="59"/>
      <c r="AB110" s="59"/>
      <c r="AC110" s="738"/>
    </row>
    <row r="111" spans="1:29" thickTop="1" x14ac:dyDescent="0.2">
      <c r="B111" s="1" t="str">
        <f>'bus sum'!B117</f>
        <v>*Note: For the 2009 collection cycle and later, Instructional FTE was defined according to the national Delaware Study of Instructional Costs and Productivity</v>
      </c>
      <c r="C111" s="1"/>
      <c r="D111" s="1"/>
      <c r="E111" s="1"/>
      <c r="F111" s="1"/>
      <c r="G111" s="245"/>
      <c r="H111" s="245"/>
      <c r="I111" s="245"/>
      <c r="J111" s="245"/>
      <c r="K111" s="59"/>
      <c r="L111" s="59"/>
      <c r="M111" s="59"/>
      <c r="O111" s="59"/>
      <c r="Q111" s="59"/>
      <c r="S111" s="59"/>
      <c r="U111" s="59"/>
      <c r="W111" s="59"/>
      <c r="Y111" s="59"/>
      <c r="AC111" s="59"/>
    </row>
    <row r="112" spans="1:29" ht="12" x14ac:dyDescent="0.2">
      <c r="C112" s="1"/>
      <c r="D112" s="59"/>
      <c r="E112" s="1"/>
      <c r="F112" s="1"/>
      <c r="G112" s="245"/>
      <c r="H112" s="245"/>
      <c r="I112" s="245"/>
      <c r="J112" s="245"/>
    </row>
    <row r="113" spans="3:10" ht="12" x14ac:dyDescent="0.2">
      <c r="C113" s="1"/>
      <c r="D113" s="633"/>
      <c r="E113" s="1"/>
      <c r="F113" s="1"/>
      <c r="G113" s="245"/>
      <c r="H113" s="245"/>
      <c r="I113" s="245"/>
      <c r="J113" s="245"/>
    </row>
    <row r="114" spans="3:10" ht="12" x14ac:dyDescent="0.2">
      <c r="C114" s="1"/>
      <c r="D114" s="633"/>
      <c r="E114" s="1"/>
      <c r="F114" s="1"/>
      <c r="G114" s="245"/>
      <c r="H114" s="245"/>
      <c r="I114" s="245"/>
      <c r="J114" s="245"/>
    </row>
    <row r="115" spans="3:10" x14ac:dyDescent="0.2">
      <c r="D115" s="633"/>
      <c r="E115" s="1"/>
      <c r="F115" s="1"/>
      <c r="G115" s="245"/>
      <c r="H115" s="245"/>
      <c r="I115" s="245"/>
      <c r="J115" s="245"/>
    </row>
    <row r="116" spans="3:10" x14ac:dyDescent="0.2">
      <c r="D116" s="634"/>
    </row>
    <row r="117" spans="3:10" x14ac:dyDescent="0.2">
      <c r="D117" s="635"/>
    </row>
    <row r="118" spans="3:10" x14ac:dyDescent="0.2">
      <c r="D118" s="636"/>
    </row>
    <row r="119" spans="3:10" x14ac:dyDescent="0.2">
      <c r="D119" s="636"/>
    </row>
    <row r="120" spans="3:10" x14ac:dyDescent="0.2">
      <c r="D120" s="636"/>
    </row>
    <row r="121" spans="3:10" x14ac:dyDescent="0.2">
      <c r="D121" s="636"/>
    </row>
    <row r="122" spans="3:10" x14ac:dyDescent="0.2">
      <c r="D122" s="637"/>
    </row>
  </sheetData>
  <mergeCells count="116">
    <mergeCell ref="W30:X30"/>
    <mergeCell ref="W58:X58"/>
    <mergeCell ref="W93:X93"/>
    <mergeCell ref="S58:T58"/>
    <mergeCell ref="S93:T93"/>
    <mergeCell ref="AB6:AC6"/>
    <mergeCell ref="AB15:AC15"/>
    <mergeCell ref="AB23:AC23"/>
    <mergeCell ref="AB30:AC30"/>
    <mergeCell ref="AB58:AC58"/>
    <mergeCell ref="S6:T6"/>
    <mergeCell ref="S15:T15"/>
    <mergeCell ref="S23:T23"/>
    <mergeCell ref="S30:T30"/>
    <mergeCell ref="U93:V93"/>
    <mergeCell ref="Y6:Z6"/>
    <mergeCell ref="Y15:Z15"/>
    <mergeCell ref="Y23:Z23"/>
    <mergeCell ref="Y30:Z30"/>
    <mergeCell ref="Y58:Z58"/>
    <mergeCell ref="Y93:Z93"/>
    <mergeCell ref="I6:J6"/>
    <mergeCell ref="I15:J15"/>
    <mergeCell ref="I23:J23"/>
    <mergeCell ref="O6:P6"/>
    <mergeCell ref="O15:P15"/>
    <mergeCell ref="O23:P23"/>
    <mergeCell ref="K6:L6"/>
    <mergeCell ref="W6:X6"/>
    <mergeCell ref="W15:X15"/>
    <mergeCell ref="W23:X23"/>
    <mergeCell ref="I104:J104"/>
    <mergeCell ref="K93:L93"/>
    <mergeCell ref="I93:J93"/>
    <mergeCell ref="Q93:R93"/>
    <mergeCell ref="K58:L58"/>
    <mergeCell ref="O58:P58"/>
    <mergeCell ref="O93:P93"/>
    <mergeCell ref="M93:N93"/>
    <mergeCell ref="Q58:R58"/>
    <mergeCell ref="I58:J58"/>
    <mergeCell ref="C109:D109"/>
    <mergeCell ref="C110:D110"/>
    <mergeCell ref="I95:J95"/>
    <mergeCell ref="I96:J97"/>
    <mergeCell ref="I98:J98"/>
    <mergeCell ref="I99:J99"/>
    <mergeCell ref="I100:J100"/>
    <mergeCell ref="I101:J101"/>
    <mergeCell ref="I107:J107"/>
    <mergeCell ref="I109:J109"/>
    <mergeCell ref="C108:D108"/>
    <mergeCell ref="C101:D101"/>
    <mergeCell ref="C102:D102"/>
    <mergeCell ref="C103:D103"/>
    <mergeCell ref="C104:D104"/>
    <mergeCell ref="C105:D105"/>
    <mergeCell ref="C106:D106"/>
    <mergeCell ref="C107:D107"/>
    <mergeCell ref="I105:J105"/>
    <mergeCell ref="I106:J106"/>
    <mergeCell ref="I110:J110"/>
    <mergeCell ref="I108:J108"/>
    <mergeCell ref="I102:J102"/>
    <mergeCell ref="I103:J103"/>
    <mergeCell ref="C100:D100"/>
    <mergeCell ref="G93:H93"/>
    <mergeCell ref="C30:D30"/>
    <mergeCell ref="E30:F30"/>
    <mergeCell ref="C93:D93"/>
    <mergeCell ref="E93:F93"/>
    <mergeCell ref="E58:F58"/>
    <mergeCell ref="C58:D58"/>
    <mergeCell ref="C96:D97"/>
    <mergeCell ref="C98:D98"/>
    <mergeCell ref="C99:D99"/>
    <mergeCell ref="C95:D95"/>
    <mergeCell ref="G58:H58"/>
    <mergeCell ref="C15:D15"/>
    <mergeCell ref="K30:L30"/>
    <mergeCell ref="K23:L23"/>
    <mergeCell ref="G15:H15"/>
    <mergeCell ref="G30:H30"/>
    <mergeCell ref="G23:H23"/>
    <mergeCell ref="G24:H24"/>
    <mergeCell ref="G25:H25"/>
    <mergeCell ref="G26:H26"/>
    <mergeCell ref="E15:F15"/>
    <mergeCell ref="E25:F25"/>
    <mergeCell ref="E26:F26"/>
    <mergeCell ref="C23:D23"/>
    <mergeCell ref="E23:F23"/>
    <mergeCell ref="K15:L15"/>
    <mergeCell ref="C24:D24"/>
    <mergeCell ref="C25:D25"/>
    <mergeCell ref="C26:D26"/>
    <mergeCell ref="E24:F24"/>
    <mergeCell ref="I30:J30"/>
    <mergeCell ref="I24:J24"/>
    <mergeCell ref="I25:J25"/>
    <mergeCell ref="I26:J26"/>
    <mergeCell ref="O30:P30"/>
    <mergeCell ref="M6:N6"/>
    <mergeCell ref="M15:N15"/>
    <mergeCell ref="M30:N30"/>
    <mergeCell ref="M58:N58"/>
    <mergeCell ref="M23:N23"/>
    <mergeCell ref="U6:V6"/>
    <mergeCell ref="U15:V15"/>
    <mergeCell ref="U23:V23"/>
    <mergeCell ref="U30:V30"/>
    <mergeCell ref="U58:V58"/>
    <mergeCell ref="Q6:R6"/>
    <mergeCell ref="Q15:R15"/>
    <mergeCell ref="Q23:R23"/>
    <mergeCell ref="Q30:R30"/>
  </mergeCells>
  <phoneticPr fontId="0" type="noConversion"/>
  <printOptions horizontalCentered="1"/>
  <pageMargins left="0.34" right="0.3" top="0.32" bottom="0.25" header="0.43" footer="0.14000000000000001"/>
  <pageSetup scale="80" orientation="landscape" horizontalDpi="4294967292" verticalDpi="4294967292" r:id="rId1"/>
  <headerFooter alignWithMargins="0">
    <oddFooter xml:space="preserve">&amp;R&amp;8&amp;P of &amp;N
updated &amp;D
</oddFooter>
  </headerFooter>
  <rowBreaks count="1" manualBreakCount="1">
    <brk id="53" max="24" man="1"/>
  </rowBreaks>
  <ignoredErrors>
    <ignoredError sqref="M78:M84 S68:S87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48"/>
  <sheetViews>
    <sheetView view="pageBreakPreview" zoomScaleNormal="70" zoomScaleSheetLayoutView="100" workbookViewId="0">
      <pane xSplit="2" ySplit="1" topLeftCell="M2" activePane="bottomRight" state="frozen"/>
      <selection activeCell="Z73" sqref="Z73"/>
      <selection pane="topRight" activeCell="Z73" sqref="Z73"/>
      <selection pane="bottomLeft" activeCell="Z73" sqref="Z73"/>
      <selection pane="bottomRight" activeCell="Z73" sqref="Z73"/>
    </sheetView>
  </sheetViews>
  <sheetFormatPr defaultColWidth="10.28515625" defaultRowHeight="12.75" x14ac:dyDescent="0.2"/>
  <cols>
    <col min="1" max="1" width="3.7109375" style="1" customWidth="1"/>
    <col min="2" max="2" width="29.7109375" style="1" customWidth="1"/>
    <col min="3" max="3" width="10.140625" hidden="1" customWidth="1"/>
    <col min="4" max="4" width="10" hidden="1" customWidth="1"/>
    <col min="5" max="6" width="10.28515625" hidden="1" customWidth="1"/>
    <col min="7" max="7" width="8.85546875" style="246" hidden="1" customWidth="1"/>
    <col min="8" max="10" width="10.28515625" style="246" hidden="1" customWidth="1"/>
    <col min="11" max="14" width="10.28515625" style="1" hidden="1" customWidth="1"/>
    <col min="15" max="26" width="10.28515625" style="1" customWidth="1"/>
    <col min="27" max="27" width="3" style="1" customWidth="1"/>
    <col min="28" max="16384" width="10.28515625" style="1"/>
  </cols>
  <sheetData>
    <row r="1" spans="1:29" ht="18" x14ac:dyDescent="0.25">
      <c r="A1" s="695" t="str">
        <f>Dean_Bus!A1</f>
        <v>Department Profile Report - FY 2015</v>
      </c>
      <c r="B1" s="695"/>
      <c r="C1" s="695"/>
      <c r="D1" s="695"/>
      <c r="E1" s="695"/>
      <c r="F1" s="695"/>
      <c r="G1" s="695"/>
      <c r="H1" s="695"/>
      <c r="I1" s="696"/>
      <c r="J1" s="696"/>
      <c r="K1" s="696"/>
      <c r="L1" s="696"/>
      <c r="M1" s="696"/>
      <c r="N1" s="696"/>
      <c r="O1" s="696"/>
      <c r="P1" s="696"/>
      <c r="Q1" s="696"/>
      <c r="R1" s="696"/>
      <c r="S1" s="696"/>
      <c r="T1" s="696"/>
      <c r="U1" s="696"/>
      <c r="V1" s="696"/>
      <c r="W1" s="696"/>
      <c r="X1" s="696"/>
      <c r="Y1" s="696"/>
      <c r="Z1" s="696"/>
      <c r="AA1" s="696"/>
      <c r="AB1" s="696"/>
      <c r="AC1" s="696"/>
    </row>
    <row r="2" spans="1:29" ht="12" x14ac:dyDescent="0.2">
      <c r="C2" s="1"/>
      <c r="D2" s="1"/>
      <c r="E2" s="1"/>
      <c r="F2" s="1"/>
      <c r="G2" s="245"/>
      <c r="H2" s="245"/>
      <c r="I2" s="245"/>
      <c r="J2" s="245"/>
    </row>
    <row r="3" spans="1:29" x14ac:dyDescent="0.2">
      <c r="A3" s="3" t="s">
        <v>24</v>
      </c>
      <c r="C3" s="1"/>
      <c r="D3" s="1"/>
      <c r="E3" s="1"/>
      <c r="F3" s="1"/>
      <c r="G3" s="245"/>
      <c r="H3" s="245"/>
      <c r="I3" s="245"/>
      <c r="J3" s="245"/>
    </row>
    <row r="4" spans="1:29" ht="12" x14ac:dyDescent="0.2">
      <c r="C4" s="1"/>
      <c r="D4" s="1"/>
      <c r="E4" s="1"/>
      <c r="F4" s="1"/>
      <c r="G4" s="245"/>
      <c r="H4" s="245"/>
      <c r="I4" s="245"/>
      <c r="J4" s="245"/>
    </row>
    <row r="5" spans="1:29" x14ac:dyDescent="0.2">
      <c r="A5" s="3" t="s">
        <v>61</v>
      </c>
      <c r="C5" s="1"/>
      <c r="D5" s="1"/>
      <c r="E5" s="1"/>
      <c r="F5" s="1"/>
      <c r="G5" s="245"/>
      <c r="H5" s="245"/>
      <c r="I5" s="245"/>
      <c r="J5" s="245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</row>
    <row r="6" spans="1:29" thickBot="1" x14ac:dyDescent="0.25">
      <c r="A6" s="2"/>
      <c r="C6" s="1"/>
      <c r="D6" s="1"/>
      <c r="E6" s="1"/>
      <c r="F6" s="1"/>
      <c r="G6" s="245"/>
      <c r="H6" s="245"/>
      <c r="I6" s="245"/>
      <c r="J6" s="245"/>
      <c r="M6" s="12"/>
      <c r="N6" s="59"/>
      <c r="O6" s="12"/>
      <c r="P6" s="59"/>
      <c r="Q6" s="12"/>
      <c r="R6" s="59"/>
      <c r="S6" s="12"/>
      <c r="T6" s="59"/>
      <c r="U6" s="12"/>
      <c r="V6" s="59"/>
      <c r="W6" s="12"/>
      <c r="X6" s="59"/>
      <c r="Y6" s="12"/>
      <c r="Z6" s="59"/>
      <c r="AB6" s="12"/>
      <c r="AC6" s="12"/>
    </row>
    <row r="7" spans="1:29" ht="13.5" customHeight="1" thickTop="1" x14ac:dyDescent="0.2">
      <c r="B7" s="42"/>
      <c r="C7" s="21" t="s">
        <v>39</v>
      </c>
      <c r="D7" s="22"/>
      <c r="E7" s="8" t="s">
        <v>40</v>
      </c>
      <c r="F7" s="4"/>
      <c r="G7" s="276" t="s">
        <v>97</v>
      </c>
      <c r="H7" s="352"/>
      <c r="I7" s="1180" t="s">
        <v>108</v>
      </c>
      <c r="J7" s="1180"/>
      <c r="K7" s="1179" t="s">
        <v>109</v>
      </c>
      <c r="L7" s="1180"/>
      <c r="M7" s="1179" t="s">
        <v>111</v>
      </c>
      <c r="N7" s="1181"/>
      <c r="O7" s="1180" t="s">
        <v>164</v>
      </c>
      <c r="P7" s="1181"/>
      <c r="Q7" s="1180" t="s">
        <v>169</v>
      </c>
      <c r="R7" s="1181"/>
      <c r="S7" s="1180" t="s">
        <v>176</v>
      </c>
      <c r="T7" s="1181"/>
      <c r="U7" s="1180" t="s">
        <v>179</v>
      </c>
      <c r="V7" s="1181"/>
      <c r="W7" s="1180" t="s">
        <v>183</v>
      </c>
      <c r="X7" s="1181"/>
      <c r="Y7" s="1180" t="s">
        <v>187</v>
      </c>
      <c r="Z7" s="1181"/>
      <c r="AB7" s="1168" t="s">
        <v>118</v>
      </c>
      <c r="AC7" s="1219"/>
    </row>
    <row r="8" spans="1:29" ht="12" x14ac:dyDescent="0.2">
      <c r="B8" s="43"/>
      <c r="C8" s="23" t="s">
        <v>1</v>
      </c>
      <c r="D8" s="24" t="s">
        <v>2</v>
      </c>
      <c r="E8" s="9" t="s">
        <v>1</v>
      </c>
      <c r="F8" s="5" t="s">
        <v>2</v>
      </c>
      <c r="G8" s="277" t="s">
        <v>1</v>
      </c>
      <c r="H8" s="353" t="s">
        <v>2</v>
      </c>
      <c r="I8" s="348" t="s">
        <v>1</v>
      </c>
      <c r="J8" s="427" t="s">
        <v>2</v>
      </c>
      <c r="K8" s="277" t="s">
        <v>1</v>
      </c>
      <c r="L8" s="427" t="s">
        <v>2</v>
      </c>
      <c r="M8" s="277" t="s">
        <v>1</v>
      </c>
      <c r="N8" s="353" t="s">
        <v>2</v>
      </c>
      <c r="O8" s="348" t="s">
        <v>1</v>
      </c>
      <c r="P8" s="353" t="s">
        <v>2</v>
      </c>
      <c r="Q8" s="348" t="s">
        <v>1</v>
      </c>
      <c r="R8" s="353" t="s">
        <v>2</v>
      </c>
      <c r="S8" s="348" t="s">
        <v>1</v>
      </c>
      <c r="T8" s="353" t="s">
        <v>2</v>
      </c>
      <c r="U8" s="348" t="s">
        <v>1</v>
      </c>
      <c r="V8" s="353" t="s">
        <v>2</v>
      </c>
      <c r="W8" s="348" t="s">
        <v>1</v>
      </c>
      <c r="X8" s="353" t="s">
        <v>2</v>
      </c>
      <c r="Y8" s="348" t="s">
        <v>1</v>
      </c>
      <c r="Z8" s="353" t="s">
        <v>2</v>
      </c>
      <c r="AB8" s="665" t="s">
        <v>1</v>
      </c>
      <c r="AC8" s="663" t="s">
        <v>2</v>
      </c>
    </row>
    <row r="9" spans="1:29" thickBot="1" x14ac:dyDescent="0.25">
      <c r="B9" s="44"/>
      <c r="C9" s="547" t="s">
        <v>3</v>
      </c>
      <c r="D9" s="86" t="s">
        <v>4</v>
      </c>
      <c r="E9" s="85" t="s">
        <v>3</v>
      </c>
      <c r="F9" s="308" t="s">
        <v>4</v>
      </c>
      <c r="G9" s="317" t="s">
        <v>3</v>
      </c>
      <c r="H9" s="354" t="s">
        <v>4</v>
      </c>
      <c r="I9" s="349" t="s">
        <v>3</v>
      </c>
      <c r="J9" s="428" t="s">
        <v>4</v>
      </c>
      <c r="K9" s="317" t="s">
        <v>3</v>
      </c>
      <c r="L9" s="428" t="s">
        <v>4</v>
      </c>
      <c r="M9" s="317" t="s">
        <v>3</v>
      </c>
      <c r="N9" s="354" t="s">
        <v>4</v>
      </c>
      <c r="O9" s="349" t="s">
        <v>3</v>
      </c>
      <c r="P9" s="354" t="s">
        <v>4</v>
      </c>
      <c r="Q9" s="349" t="s">
        <v>3</v>
      </c>
      <c r="R9" s="354" t="s">
        <v>4</v>
      </c>
      <c r="S9" s="349" t="s">
        <v>3</v>
      </c>
      <c r="T9" s="354" t="s">
        <v>4</v>
      </c>
      <c r="U9" s="349" t="s">
        <v>3</v>
      </c>
      <c r="V9" s="354" t="s">
        <v>4</v>
      </c>
      <c r="W9" s="349" t="s">
        <v>3</v>
      </c>
      <c r="X9" s="354" t="s">
        <v>4</v>
      </c>
      <c r="Y9" s="349" t="s">
        <v>3</v>
      </c>
      <c r="Z9" s="354" t="s">
        <v>4</v>
      </c>
      <c r="AB9" s="590" t="s">
        <v>3</v>
      </c>
      <c r="AC9" s="664" t="s">
        <v>4</v>
      </c>
    </row>
    <row r="10" spans="1:29" ht="12" x14ac:dyDescent="0.2">
      <c r="B10" s="45" t="s">
        <v>5</v>
      </c>
      <c r="C10" s="548"/>
      <c r="D10" s="88"/>
      <c r="E10" s="87"/>
      <c r="F10" s="108"/>
      <c r="G10" s="318"/>
      <c r="H10" s="355"/>
      <c r="I10" s="350"/>
      <c r="J10" s="429"/>
      <c r="K10" s="318"/>
      <c r="L10" s="429"/>
      <c r="M10" s="318"/>
      <c r="N10" s="355"/>
      <c r="O10" s="350"/>
      <c r="P10" s="355"/>
      <c r="Q10" s="350"/>
      <c r="R10" s="355"/>
      <c r="S10" s="350"/>
      <c r="T10" s="355"/>
      <c r="U10" s="350"/>
      <c r="V10" s="355"/>
      <c r="W10" s="350"/>
      <c r="X10" s="355"/>
      <c r="Y10" s="350"/>
      <c r="Z10" s="355"/>
      <c r="AB10" s="19"/>
      <c r="AC10" s="583"/>
    </row>
    <row r="11" spans="1:29" ht="12" x14ac:dyDescent="0.2">
      <c r="B11" s="46" t="s">
        <v>48</v>
      </c>
      <c r="C11" s="26"/>
      <c r="D11" s="27"/>
      <c r="E11" s="13"/>
      <c r="F11" s="14"/>
      <c r="G11" s="279"/>
      <c r="H11" s="356"/>
      <c r="I11" s="111"/>
      <c r="J11" s="430"/>
      <c r="K11" s="279"/>
      <c r="L11" s="430"/>
      <c r="M11" s="279"/>
      <c r="N11" s="356"/>
      <c r="O11" s="111"/>
      <c r="P11" s="356"/>
      <c r="Q11" s="111"/>
      <c r="R11" s="356"/>
      <c r="S11" s="111"/>
      <c r="T11" s="356"/>
      <c r="U11" s="111"/>
      <c r="V11" s="356"/>
      <c r="W11" s="111"/>
      <c r="X11" s="356"/>
      <c r="Y11" s="111"/>
      <c r="Z11" s="356"/>
      <c r="AB11" s="19"/>
      <c r="AC11" s="583"/>
    </row>
    <row r="12" spans="1:29" thickBot="1" x14ac:dyDescent="0.25">
      <c r="B12" s="48" t="s">
        <v>151</v>
      </c>
      <c r="C12" s="549">
        <v>354</v>
      </c>
      <c r="D12" s="509">
        <v>171</v>
      </c>
      <c r="E12" s="508">
        <f>261+83</f>
        <v>344</v>
      </c>
      <c r="F12" s="510">
        <v>142</v>
      </c>
      <c r="G12" s="511">
        <v>347</v>
      </c>
      <c r="H12" s="512">
        <v>137</v>
      </c>
      <c r="I12" s="513">
        <v>340</v>
      </c>
      <c r="J12" s="514">
        <f>70+33+29+15</f>
        <v>147</v>
      </c>
      <c r="K12" s="511">
        <v>351</v>
      </c>
      <c r="L12" s="514">
        <f>95+29</f>
        <v>124</v>
      </c>
      <c r="M12" s="511">
        <f>264+49</f>
        <v>313</v>
      </c>
      <c r="N12" s="512">
        <v>114</v>
      </c>
      <c r="O12" s="513">
        <v>289</v>
      </c>
      <c r="P12" s="512">
        <f>107+14</f>
        <v>121</v>
      </c>
      <c r="Q12" s="513">
        <v>309</v>
      </c>
      <c r="R12" s="512">
        <v>116</v>
      </c>
      <c r="S12" s="513">
        <v>321</v>
      </c>
      <c r="T12" s="512">
        <v>131</v>
      </c>
      <c r="U12" s="513">
        <v>351</v>
      </c>
      <c r="V12" s="512">
        <v>125</v>
      </c>
      <c r="W12" s="513">
        <v>374</v>
      </c>
      <c r="X12" s="512">
        <v>154</v>
      </c>
      <c r="Y12" s="513">
        <v>345</v>
      </c>
      <c r="Z12" s="1035"/>
      <c r="AB12" s="667">
        <f>AVERAGE(W12,U12,S12,Q12,Y12)</f>
        <v>340</v>
      </c>
      <c r="AC12" s="732">
        <f>AVERAGE(X12,V12,T12,R12,Z12)</f>
        <v>131.5</v>
      </c>
    </row>
    <row r="13" spans="1:29" thickTop="1" x14ac:dyDescent="0.2">
      <c r="B13" s="133" t="s">
        <v>150</v>
      </c>
      <c r="C13" s="58"/>
      <c r="D13" s="61"/>
      <c r="E13" s="58"/>
      <c r="F13" s="61"/>
      <c r="G13" s="249"/>
      <c r="H13" s="250"/>
      <c r="I13" s="249"/>
      <c r="J13" s="250"/>
      <c r="K13" s="249"/>
      <c r="L13" s="250"/>
      <c r="M13" s="249"/>
      <c r="N13" s="250"/>
      <c r="O13" s="249"/>
      <c r="P13" s="250"/>
      <c r="Q13" s="249"/>
      <c r="R13" s="250"/>
      <c r="S13" s="249"/>
      <c r="T13" s="250"/>
      <c r="U13" s="249"/>
      <c r="V13" s="250"/>
      <c r="W13" s="249"/>
      <c r="X13" s="250"/>
      <c r="Y13" s="249"/>
      <c r="Z13" s="250"/>
      <c r="AB13" s="731"/>
      <c r="AC13" s="731"/>
    </row>
    <row r="14" spans="1:29" thickBot="1" x14ac:dyDescent="0.25">
      <c r="C14" s="58"/>
      <c r="D14" s="61"/>
      <c r="E14" s="58"/>
      <c r="F14" s="61"/>
      <c r="G14" s="331"/>
      <c r="H14" s="332"/>
      <c r="I14" s="331"/>
      <c r="J14" s="332"/>
      <c r="K14" s="331"/>
      <c r="L14" s="332"/>
      <c r="M14" s="331"/>
      <c r="N14" s="332"/>
      <c r="O14" s="331"/>
      <c r="P14" s="332"/>
      <c r="Q14" s="331"/>
      <c r="R14" s="332"/>
      <c r="S14" s="331"/>
      <c r="T14" s="332"/>
      <c r="U14" s="331"/>
      <c r="V14" s="332"/>
      <c r="W14" s="331"/>
      <c r="X14" s="332"/>
      <c r="Y14" s="331"/>
      <c r="Z14" s="332"/>
      <c r="AB14" s="12"/>
      <c r="AC14" s="12"/>
    </row>
    <row r="15" spans="1:29" ht="13.5" thickTop="1" thickBot="1" x14ac:dyDescent="0.25">
      <c r="B15" s="866"/>
      <c r="C15" s="1151" t="s">
        <v>39</v>
      </c>
      <c r="D15" s="1152"/>
      <c r="E15" s="1153" t="s">
        <v>40</v>
      </c>
      <c r="F15" s="1153"/>
      <c r="G15" s="1150" t="s">
        <v>97</v>
      </c>
      <c r="H15" s="1134"/>
      <c r="I15" s="1133" t="s">
        <v>108</v>
      </c>
      <c r="J15" s="1133"/>
      <c r="K15" s="1150" t="s">
        <v>109</v>
      </c>
      <c r="L15" s="1133"/>
      <c r="M15" s="1150" t="s">
        <v>111</v>
      </c>
      <c r="N15" s="1134"/>
      <c r="O15" s="1133" t="s">
        <v>164</v>
      </c>
      <c r="P15" s="1134"/>
      <c r="Q15" s="1133" t="s">
        <v>169</v>
      </c>
      <c r="R15" s="1134"/>
      <c r="S15" s="1133" t="s">
        <v>176</v>
      </c>
      <c r="T15" s="1134"/>
      <c r="U15" s="1133" t="s">
        <v>179</v>
      </c>
      <c r="V15" s="1134"/>
      <c r="W15" s="1133" t="s">
        <v>183</v>
      </c>
      <c r="X15" s="1134"/>
      <c r="Y15" s="1133" t="s">
        <v>187</v>
      </c>
      <c r="Z15" s="1134"/>
      <c r="AB15" s="1220" t="s">
        <v>118</v>
      </c>
      <c r="AC15" s="1221"/>
    </row>
    <row r="16" spans="1:29" ht="12" x14ac:dyDescent="0.2">
      <c r="B16" s="45" t="s">
        <v>6</v>
      </c>
      <c r="C16" s="149"/>
      <c r="D16" s="150"/>
      <c r="E16" s="33"/>
      <c r="F16" s="33"/>
      <c r="G16" s="280"/>
      <c r="H16" s="360"/>
      <c r="I16" s="358"/>
      <c r="J16" s="358"/>
      <c r="K16" s="280"/>
      <c r="L16" s="358"/>
      <c r="M16" s="280"/>
      <c r="N16" s="360"/>
      <c r="O16" s="358"/>
      <c r="P16" s="360"/>
      <c r="Q16" s="358"/>
      <c r="R16" s="360"/>
      <c r="S16" s="358"/>
      <c r="T16" s="360"/>
      <c r="U16" s="358"/>
      <c r="V16" s="360"/>
      <c r="W16" s="358"/>
      <c r="X16" s="360"/>
      <c r="Y16" s="358"/>
      <c r="Z16" s="360"/>
      <c r="AA16" s="583"/>
      <c r="AB16" s="733"/>
      <c r="AC16" s="734"/>
    </row>
    <row r="17" spans="1:31" ht="12" x14ac:dyDescent="0.2">
      <c r="B17" s="49" t="s">
        <v>7</v>
      </c>
      <c r="C17" s="149"/>
      <c r="D17" s="150"/>
      <c r="E17" s="33"/>
      <c r="F17" s="33"/>
      <c r="G17" s="280"/>
      <c r="H17" s="360"/>
      <c r="I17" s="358"/>
      <c r="J17" s="358"/>
      <c r="K17" s="280"/>
      <c r="L17" s="358"/>
      <c r="M17" s="280"/>
      <c r="N17" s="360"/>
      <c r="O17" s="358"/>
      <c r="P17" s="360"/>
      <c r="Q17" s="358"/>
      <c r="R17" s="360"/>
      <c r="S17" s="358"/>
      <c r="T17" s="360"/>
      <c r="U17" s="358"/>
      <c r="V17" s="360"/>
      <c r="W17" s="358"/>
      <c r="X17" s="360"/>
      <c r="Y17" s="358"/>
      <c r="Z17" s="360"/>
      <c r="AA17" s="583"/>
      <c r="AC17" s="583"/>
    </row>
    <row r="18" spans="1:31" ht="12" x14ac:dyDescent="0.2">
      <c r="B18" s="49" t="s">
        <v>8</v>
      </c>
      <c r="C18" s="149"/>
      <c r="D18" s="150">
        <v>93</v>
      </c>
      <c r="E18" s="33"/>
      <c r="F18" s="33">
        <v>99</v>
      </c>
      <c r="G18" s="280"/>
      <c r="H18" s="360">
        <v>96</v>
      </c>
      <c r="I18" s="358"/>
      <c r="J18" s="358">
        <v>99</v>
      </c>
      <c r="K18" s="280"/>
      <c r="L18" s="358">
        <v>105</v>
      </c>
      <c r="M18" s="280"/>
      <c r="N18" s="360">
        <v>99</v>
      </c>
      <c r="O18" s="358"/>
      <c r="P18" s="360">
        <v>0</v>
      </c>
      <c r="Q18" s="358"/>
      <c r="R18" s="360">
        <v>0</v>
      </c>
      <c r="S18" s="358"/>
      <c r="T18" s="360">
        <v>0</v>
      </c>
      <c r="U18" s="358"/>
      <c r="V18" s="360">
        <v>0</v>
      </c>
      <c r="W18" s="358"/>
      <c r="X18" s="360">
        <v>0</v>
      </c>
      <c r="Y18" s="358"/>
      <c r="Z18" s="1095"/>
      <c r="AA18" s="583"/>
      <c r="AB18" s="33"/>
      <c r="AC18" s="676">
        <f t="shared" ref="AC18:AC22" si="0">AVERAGE(X18,V18,T18,R18,Z18)</f>
        <v>0</v>
      </c>
    </row>
    <row r="19" spans="1:31" ht="12" x14ac:dyDescent="0.2">
      <c r="B19" s="49" t="s">
        <v>9</v>
      </c>
      <c r="C19" s="149"/>
      <c r="D19" s="184">
        <v>5958</v>
      </c>
      <c r="E19" s="181"/>
      <c r="F19" s="181">
        <v>5773</v>
      </c>
      <c r="G19" s="324"/>
      <c r="H19" s="393">
        <v>5794</v>
      </c>
      <c r="I19" s="398"/>
      <c r="J19" s="398">
        <v>5673</v>
      </c>
      <c r="K19" s="324"/>
      <c r="L19" s="398">
        <v>5909</v>
      </c>
      <c r="M19" s="324"/>
      <c r="N19" s="393">
        <v>5826</v>
      </c>
      <c r="O19" s="398"/>
      <c r="P19" s="393">
        <v>5684</v>
      </c>
      <c r="Q19" s="398"/>
      <c r="R19" s="393">
        <v>5741</v>
      </c>
      <c r="S19" s="398"/>
      <c r="T19" s="393">
        <v>6258</v>
      </c>
      <c r="U19" s="398"/>
      <c r="V19" s="393">
        <v>6590</v>
      </c>
      <c r="W19" s="398"/>
      <c r="X19" s="393">
        <v>6389</v>
      </c>
      <c r="Y19" s="398"/>
      <c r="Z19" s="1099"/>
      <c r="AB19" s="677"/>
      <c r="AC19" s="676">
        <f t="shared" si="0"/>
        <v>6244.5</v>
      </c>
    </row>
    <row r="20" spans="1:31" ht="12" x14ac:dyDescent="0.2">
      <c r="B20" s="49" t="s">
        <v>10</v>
      </c>
      <c r="C20" s="149"/>
      <c r="D20" s="150">
        <v>241</v>
      </c>
      <c r="E20" s="33"/>
      <c r="F20" s="33">
        <v>261</v>
      </c>
      <c r="G20" s="280"/>
      <c r="H20" s="360">
        <v>357</v>
      </c>
      <c r="I20" s="358"/>
      <c r="J20" s="358">
        <v>276</v>
      </c>
      <c r="K20" s="280"/>
      <c r="L20" s="358">
        <v>369</v>
      </c>
      <c r="M20" s="280"/>
      <c r="N20" s="360">
        <v>297</v>
      </c>
      <c r="O20" s="358"/>
      <c r="P20" s="360">
        <v>312</v>
      </c>
      <c r="Q20" s="358"/>
      <c r="R20" s="360">
        <v>279</v>
      </c>
      <c r="S20" s="358"/>
      <c r="T20" s="360">
        <v>246</v>
      </c>
      <c r="U20" s="358"/>
      <c r="V20" s="360">
        <v>254</v>
      </c>
      <c r="W20" s="358"/>
      <c r="X20" s="360">
        <v>289</v>
      </c>
      <c r="Y20" s="358"/>
      <c r="Z20" s="1095"/>
      <c r="AB20" s="677"/>
      <c r="AC20" s="676">
        <f t="shared" si="0"/>
        <v>267</v>
      </c>
    </row>
    <row r="21" spans="1:31" ht="12" x14ac:dyDescent="0.2">
      <c r="B21" s="49" t="s">
        <v>11</v>
      </c>
      <c r="C21" s="149"/>
      <c r="D21" s="150"/>
      <c r="E21" s="33"/>
      <c r="F21" s="33"/>
      <c r="G21" s="280"/>
      <c r="H21" s="360">
        <v>0</v>
      </c>
      <c r="I21" s="358"/>
      <c r="J21" s="358">
        <v>0</v>
      </c>
      <c r="K21" s="280"/>
      <c r="L21" s="358">
        <v>0</v>
      </c>
      <c r="M21" s="280"/>
      <c r="N21" s="360"/>
      <c r="O21" s="358"/>
      <c r="P21" s="360">
        <v>0</v>
      </c>
      <c r="Q21" s="358"/>
      <c r="R21" s="360">
        <v>0</v>
      </c>
      <c r="S21" s="358"/>
      <c r="T21" s="360">
        <v>0</v>
      </c>
      <c r="U21" s="358"/>
      <c r="V21" s="360">
        <v>0</v>
      </c>
      <c r="W21" s="358"/>
      <c r="X21" s="360">
        <v>0</v>
      </c>
      <c r="Y21" s="358"/>
      <c r="Z21" s="1095"/>
      <c r="AB21" s="677"/>
      <c r="AC21" s="676">
        <f t="shared" si="0"/>
        <v>0</v>
      </c>
    </row>
    <row r="22" spans="1:31" thickBot="1" x14ac:dyDescent="0.25">
      <c r="B22" s="50" t="s">
        <v>12</v>
      </c>
      <c r="C22" s="154"/>
      <c r="D22" s="225">
        <f>SUM(D18:D21)</f>
        <v>6292</v>
      </c>
      <c r="E22" s="123"/>
      <c r="F22" s="123">
        <f>SUM(F18:F21)</f>
        <v>6133</v>
      </c>
      <c r="G22" s="325"/>
      <c r="H22" s="400">
        <f>SUM(H18:H21)</f>
        <v>6247</v>
      </c>
      <c r="I22" s="399"/>
      <c r="J22" s="399">
        <f>SUM(J18:J21)</f>
        <v>6048</v>
      </c>
      <c r="K22" s="325"/>
      <c r="L22" s="399">
        <f>SUM(L18:L21)</f>
        <v>6383</v>
      </c>
      <c r="M22" s="325"/>
      <c r="N22" s="400">
        <v>6222</v>
      </c>
      <c r="O22" s="399"/>
      <c r="P22" s="400">
        <f>SUM(P18:P21)</f>
        <v>5996</v>
      </c>
      <c r="Q22" s="399"/>
      <c r="R22" s="400">
        <f>SUM(R18:R21)</f>
        <v>6020</v>
      </c>
      <c r="S22" s="399"/>
      <c r="T22" s="400">
        <f>SUM(T18:T21)</f>
        <v>6504</v>
      </c>
      <c r="U22" s="399"/>
      <c r="V22" s="400">
        <f>SUM(V18:V21)</f>
        <v>6844</v>
      </c>
      <c r="W22" s="399"/>
      <c r="X22" s="400">
        <f>SUM(X18:X21)</f>
        <v>6678</v>
      </c>
      <c r="Y22" s="399"/>
      <c r="Z22" s="1100">
        <f>SUM(Z18:Z21)</f>
        <v>0</v>
      </c>
      <c r="AB22" s="604"/>
      <c r="AC22" s="808">
        <f t="shared" si="0"/>
        <v>5209.2</v>
      </c>
    </row>
    <row r="23" spans="1:31" ht="13.5" customHeight="1" thickTop="1" thickBot="1" x14ac:dyDescent="0.25">
      <c r="A23" s="583"/>
      <c r="B23" s="622" t="s">
        <v>136</v>
      </c>
      <c r="C23" s="1141" t="s">
        <v>41</v>
      </c>
      <c r="D23" s="1160"/>
      <c r="E23" s="1141" t="s">
        <v>42</v>
      </c>
      <c r="F23" s="1160"/>
      <c r="G23" s="1145" t="s">
        <v>132</v>
      </c>
      <c r="H23" s="1163"/>
      <c r="I23" s="1145" t="s">
        <v>133</v>
      </c>
      <c r="J23" s="1166"/>
      <c r="K23" s="1145" t="s">
        <v>134</v>
      </c>
      <c r="L23" s="1166"/>
      <c r="M23" s="1149" t="s">
        <v>135</v>
      </c>
      <c r="N23" s="1163"/>
      <c r="O23" s="1135" t="s">
        <v>166</v>
      </c>
      <c r="P23" s="1163"/>
      <c r="Q23" s="1135" t="s">
        <v>170</v>
      </c>
      <c r="R23" s="1163"/>
      <c r="S23" s="1135" t="s">
        <v>177</v>
      </c>
      <c r="T23" s="1163"/>
      <c r="U23" s="1135" t="s">
        <v>180</v>
      </c>
      <c r="V23" s="1163"/>
      <c r="W23" s="1135" t="s">
        <v>184</v>
      </c>
      <c r="X23" s="1163"/>
      <c r="Y23" s="1135" t="s">
        <v>188</v>
      </c>
      <c r="Z23" s="1163"/>
      <c r="AA23" s="672"/>
      <c r="AB23" s="729"/>
      <c r="AC23" s="730"/>
      <c r="AD23" s="438"/>
      <c r="AE23" s="438"/>
    </row>
    <row r="24" spans="1:31" ht="13.5" customHeight="1" x14ac:dyDescent="0.2">
      <c r="A24" s="583"/>
      <c r="B24" s="623" t="s">
        <v>119</v>
      </c>
      <c r="C24" s="1204">
        <v>0.41799999999999998</v>
      </c>
      <c r="D24" s="1205"/>
      <c r="E24" s="1158">
        <v>0.433</v>
      </c>
      <c r="F24" s="1206"/>
      <c r="G24" s="1161">
        <v>0.42599999999999999</v>
      </c>
      <c r="H24" s="1200"/>
      <c r="I24" s="1161">
        <v>0.39200000000000002</v>
      </c>
      <c r="J24" s="1200"/>
      <c r="K24" s="643"/>
      <c r="L24" s="640">
        <v>0.40200000000000002</v>
      </c>
      <c r="M24" s="646"/>
      <c r="N24" s="833">
        <v>0.442</v>
      </c>
      <c r="O24" s="830"/>
      <c r="P24" s="833">
        <v>0.39800000000000002</v>
      </c>
      <c r="Q24" s="648"/>
      <c r="R24" s="833">
        <v>0.4</v>
      </c>
      <c r="S24" s="648"/>
      <c r="T24" s="833">
        <v>0.41699999999999998</v>
      </c>
      <c r="U24" s="648"/>
      <c r="V24" s="833">
        <v>0.43</v>
      </c>
      <c r="W24" s="648"/>
      <c r="X24" s="833">
        <v>0.41699999999999998</v>
      </c>
      <c r="Y24" s="648"/>
      <c r="Z24" s="833">
        <v>0.40799999999999997</v>
      </c>
      <c r="AA24" s="916"/>
      <c r="AB24" s="648"/>
      <c r="AC24" s="670">
        <f t="shared" ref="AC24:AC26" si="1">AVERAGE(X24,V24,T24,R24,Z24)</f>
        <v>0.41439999999999999</v>
      </c>
      <c r="AD24" s="438"/>
      <c r="AE24" s="438"/>
    </row>
    <row r="25" spans="1:31" ht="13.5" customHeight="1" x14ac:dyDescent="0.2">
      <c r="A25" s="583"/>
      <c r="B25" s="624" t="s">
        <v>120</v>
      </c>
      <c r="C25" s="1207">
        <v>0</v>
      </c>
      <c r="D25" s="1206"/>
      <c r="E25" s="1156">
        <v>0</v>
      </c>
      <c r="F25" s="1216"/>
      <c r="G25" s="1172">
        <v>1E-3</v>
      </c>
      <c r="H25" s="1199"/>
      <c r="I25" s="1172">
        <v>0</v>
      </c>
      <c r="J25" s="1199"/>
      <c r="K25" s="644"/>
      <c r="L25" s="641">
        <v>0</v>
      </c>
      <c r="M25" s="644"/>
      <c r="N25" s="834">
        <v>0</v>
      </c>
      <c r="O25" s="831"/>
      <c r="P25" s="834">
        <v>0</v>
      </c>
      <c r="Q25" s="649"/>
      <c r="R25" s="834">
        <v>0</v>
      </c>
      <c r="S25" s="649"/>
      <c r="T25" s="834">
        <v>0</v>
      </c>
      <c r="U25" s="649"/>
      <c r="V25" s="834">
        <v>0</v>
      </c>
      <c r="W25" s="649"/>
      <c r="X25" s="834">
        <v>0</v>
      </c>
      <c r="Y25" s="649"/>
      <c r="Z25" s="834">
        <v>0</v>
      </c>
      <c r="AA25" s="916"/>
      <c r="AB25" s="649"/>
      <c r="AC25" s="670">
        <f t="shared" si="1"/>
        <v>0</v>
      </c>
      <c r="AD25" s="438"/>
      <c r="AE25" s="438"/>
    </row>
    <row r="26" spans="1:31" ht="13.5" customHeight="1" thickBot="1" x14ac:dyDescent="0.25">
      <c r="B26" s="647" t="s">
        <v>121</v>
      </c>
      <c r="C26" s="1208">
        <v>0.58199999999999996</v>
      </c>
      <c r="D26" s="1209"/>
      <c r="E26" s="1164">
        <v>0.56699999999999995</v>
      </c>
      <c r="F26" s="1209"/>
      <c r="G26" s="1164">
        <v>0.57299999999999995</v>
      </c>
      <c r="H26" s="1201"/>
      <c r="I26" s="1164">
        <v>0.60799999999999998</v>
      </c>
      <c r="J26" s="1201"/>
      <c r="K26" s="645"/>
      <c r="L26" s="642">
        <v>0.59799999999999998</v>
      </c>
      <c r="M26" s="645"/>
      <c r="N26" s="835">
        <v>0.55800000000000005</v>
      </c>
      <c r="O26" s="832"/>
      <c r="P26" s="835">
        <f>1-P25-P24</f>
        <v>0.60199999999999998</v>
      </c>
      <c r="Q26" s="966"/>
      <c r="R26" s="835">
        <v>0.6</v>
      </c>
      <c r="S26" s="966"/>
      <c r="T26" s="835">
        <f>1-T24-T25</f>
        <v>0.58299999999999996</v>
      </c>
      <c r="U26" s="966"/>
      <c r="V26" s="835">
        <f>1-V24-V25</f>
        <v>0.57000000000000006</v>
      </c>
      <c r="W26" s="966"/>
      <c r="X26" s="835">
        <f>1-X24-X25</f>
        <v>0.58299999999999996</v>
      </c>
      <c r="Y26" s="966"/>
      <c r="Z26" s="835">
        <f>1-Z24-Z25</f>
        <v>0.59200000000000008</v>
      </c>
      <c r="AA26" s="916"/>
      <c r="AB26" s="669"/>
      <c r="AC26" s="671">
        <f t="shared" si="1"/>
        <v>0.58560000000000001</v>
      </c>
      <c r="AD26" s="438"/>
      <c r="AE26" s="438"/>
    </row>
    <row r="27" spans="1:31" thickTop="1" x14ac:dyDescent="0.2">
      <c r="B27" s="102"/>
      <c r="C27" s="103"/>
      <c r="D27" s="104"/>
      <c r="E27" s="103"/>
      <c r="F27" s="104"/>
      <c r="G27" s="251"/>
      <c r="H27" s="252"/>
      <c r="I27" s="251"/>
      <c r="J27" s="252"/>
      <c r="K27" s="251"/>
      <c r="L27" s="252"/>
      <c r="M27" s="251"/>
      <c r="N27" s="252"/>
      <c r="O27" s="251"/>
      <c r="P27" s="252"/>
      <c r="Q27" s="251"/>
      <c r="R27" s="252"/>
      <c r="S27" s="251"/>
      <c r="T27" s="252"/>
      <c r="U27" s="251"/>
      <c r="V27" s="252"/>
      <c r="W27" s="251"/>
      <c r="X27" s="252"/>
      <c r="Y27" s="251"/>
      <c r="Z27" s="252"/>
      <c r="AA27" s="59"/>
      <c r="AB27" s="650"/>
      <c r="AC27" s="735"/>
    </row>
    <row r="28" spans="1:31" x14ac:dyDescent="0.2">
      <c r="A28" s="105" t="s">
        <v>51</v>
      </c>
      <c r="B28" s="92"/>
      <c r="C28" s="59"/>
      <c r="D28" s="59"/>
      <c r="E28" s="59"/>
      <c r="F28" s="59"/>
      <c r="G28" s="253"/>
      <c r="H28" s="253"/>
      <c r="I28" s="253"/>
      <c r="J28" s="253"/>
      <c r="K28" s="253"/>
      <c r="L28" s="253"/>
      <c r="M28" s="253"/>
      <c r="N28" s="253"/>
      <c r="O28" s="253"/>
      <c r="P28" s="253"/>
      <c r="Q28" s="253"/>
      <c r="R28" s="253"/>
      <c r="S28" s="253"/>
      <c r="T28" s="253"/>
      <c r="U28" s="253"/>
      <c r="V28" s="253"/>
      <c r="W28" s="253"/>
      <c r="X28" s="253"/>
      <c r="Y28" s="253"/>
      <c r="Z28" s="253"/>
      <c r="AB28" s="59"/>
      <c r="AC28" s="59"/>
    </row>
    <row r="29" spans="1:31" ht="13.5" thickBot="1" x14ac:dyDescent="0.25">
      <c r="A29" s="105"/>
      <c r="B29" s="92"/>
      <c r="C29" s="59"/>
      <c r="D29" s="59"/>
      <c r="E29" s="59"/>
      <c r="F29" s="59"/>
      <c r="G29" s="253"/>
      <c r="H29" s="253"/>
      <c r="I29" s="253"/>
      <c r="J29" s="253"/>
      <c r="K29" s="253"/>
      <c r="L29" s="253"/>
      <c r="M29" s="301"/>
      <c r="N29" s="253"/>
      <c r="O29" s="301"/>
      <c r="P29" s="253"/>
      <c r="Q29" s="301"/>
      <c r="R29" s="253"/>
      <c r="S29" s="301"/>
      <c r="T29" s="253"/>
      <c r="U29" s="301"/>
      <c r="V29" s="253"/>
      <c r="W29" s="301"/>
      <c r="X29" s="253"/>
      <c r="Y29" s="301"/>
      <c r="Z29" s="253"/>
      <c r="AB29" s="12"/>
      <c r="AC29" s="12"/>
    </row>
    <row r="30" spans="1:31" ht="14.25" thickTop="1" thickBot="1" x14ac:dyDescent="0.25">
      <c r="A30" s="3"/>
      <c r="B30" s="867" t="s">
        <v>52</v>
      </c>
      <c r="C30" s="1151" t="s">
        <v>39</v>
      </c>
      <c r="D30" s="1152"/>
      <c r="E30" s="1153" t="s">
        <v>40</v>
      </c>
      <c r="F30" s="1153"/>
      <c r="G30" s="1150" t="s">
        <v>97</v>
      </c>
      <c r="H30" s="1134"/>
      <c r="I30" s="1133" t="s">
        <v>108</v>
      </c>
      <c r="J30" s="1133"/>
      <c r="K30" s="1150" t="s">
        <v>109</v>
      </c>
      <c r="L30" s="1133"/>
      <c r="M30" s="1150" t="s">
        <v>111</v>
      </c>
      <c r="N30" s="1134"/>
      <c r="O30" s="1133" t="s">
        <v>164</v>
      </c>
      <c r="P30" s="1134"/>
      <c r="Q30" s="1133" t="s">
        <v>169</v>
      </c>
      <c r="R30" s="1134"/>
      <c r="S30" s="1133" t="s">
        <v>176</v>
      </c>
      <c r="T30" s="1134"/>
      <c r="U30" s="1133" t="s">
        <v>179</v>
      </c>
      <c r="V30" s="1134"/>
      <c r="W30" s="1133" t="s">
        <v>183</v>
      </c>
      <c r="X30" s="1134"/>
      <c r="Y30" s="1133" t="s">
        <v>187</v>
      </c>
      <c r="Z30" s="1134"/>
      <c r="AB30" s="1197" t="s">
        <v>118</v>
      </c>
      <c r="AC30" s="1222"/>
    </row>
    <row r="31" spans="1:31" x14ac:dyDescent="0.2">
      <c r="A31" s="3"/>
      <c r="B31" s="868" t="s">
        <v>53</v>
      </c>
      <c r="C31" s="151"/>
      <c r="D31" s="152"/>
      <c r="E31" s="34"/>
      <c r="F31" s="34"/>
      <c r="G31" s="281"/>
      <c r="H31" s="361"/>
      <c r="I31" s="254"/>
      <c r="J31" s="254"/>
      <c r="K31" s="281"/>
      <c r="L31" s="254"/>
      <c r="M31" s="281"/>
      <c r="N31" s="361"/>
      <c r="O31" s="254"/>
      <c r="P31" s="361"/>
      <c r="Q31" s="254"/>
      <c r="R31" s="361"/>
      <c r="S31" s="254"/>
      <c r="T31" s="361"/>
      <c r="U31" s="254"/>
      <c r="V31" s="361"/>
      <c r="W31" s="254"/>
      <c r="X31" s="361"/>
      <c r="Y31" s="254"/>
      <c r="Z31" s="361"/>
      <c r="AB31" s="675"/>
      <c r="AC31" s="697"/>
    </row>
    <row r="32" spans="1:31" x14ac:dyDescent="0.2">
      <c r="A32" s="3"/>
      <c r="B32" s="869" t="s">
        <v>54</v>
      </c>
      <c r="C32" s="149"/>
      <c r="D32" s="213">
        <v>910145</v>
      </c>
      <c r="E32" s="33"/>
      <c r="F32" s="220">
        <v>955019</v>
      </c>
      <c r="G32" s="280"/>
      <c r="H32" s="371">
        <v>1055833</v>
      </c>
      <c r="I32" s="358"/>
      <c r="J32" s="439">
        <v>1102218</v>
      </c>
      <c r="K32" s="280"/>
      <c r="L32" s="439">
        <v>1131447</v>
      </c>
      <c r="M32" s="280"/>
      <c r="N32" s="371">
        <v>1250002</v>
      </c>
      <c r="O32" s="358"/>
      <c r="P32" s="371">
        <v>1190686</v>
      </c>
      <c r="Q32" s="358"/>
      <c r="R32" s="371">
        <v>1203343</v>
      </c>
      <c r="S32" s="358"/>
      <c r="T32" s="371">
        <v>1153543</v>
      </c>
      <c r="U32" s="358"/>
      <c r="V32" s="371">
        <v>1262356</v>
      </c>
      <c r="W32" s="358"/>
      <c r="X32" s="371">
        <v>1490565</v>
      </c>
      <c r="Y32" s="358"/>
      <c r="Z32" s="371">
        <v>1557010</v>
      </c>
      <c r="AA32" s="583"/>
      <c r="AB32" s="34"/>
      <c r="AC32" s="681">
        <f>AVERAGE(X32,V32,T32,R32,Z32)</f>
        <v>1333363.3999999999</v>
      </c>
    </row>
    <row r="33" spans="1:29" hidden="1" x14ac:dyDescent="0.2">
      <c r="A33" s="3"/>
      <c r="B33" s="869" t="s">
        <v>55</v>
      </c>
      <c r="C33" s="151"/>
      <c r="D33" s="214"/>
      <c r="E33" s="34"/>
      <c r="F33" s="221"/>
      <c r="G33" s="281"/>
      <c r="H33" s="372"/>
      <c r="I33" s="254"/>
      <c r="J33" s="440"/>
      <c r="K33" s="281"/>
      <c r="L33" s="440"/>
      <c r="M33" s="281"/>
      <c r="N33" s="372"/>
      <c r="O33" s="254"/>
      <c r="P33" s="372"/>
      <c r="Q33" s="254"/>
      <c r="R33" s="372"/>
      <c r="S33" s="254"/>
      <c r="T33" s="372"/>
      <c r="U33" s="254"/>
      <c r="V33" s="372"/>
      <c r="W33" s="254"/>
      <c r="X33" s="372"/>
      <c r="Y33" s="254"/>
      <c r="Z33" s="372"/>
      <c r="AA33" s="583"/>
      <c r="AC33" s="678"/>
    </row>
    <row r="34" spans="1:29" ht="36" x14ac:dyDescent="0.2">
      <c r="A34" s="3"/>
      <c r="B34" s="870" t="s">
        <v>65</v>
      </c>
      <c r="C34" s="151"/>
      <c r="D34" s="214"/>
      <c r="E34" s="34"/>
      <c r="F34" s="221"/>
      <c r="G34" s="281"/>
      <c r="H34" s="372"/>
      <c r="I34" s="254"/>
      <c r="J34" s="440"/>
      <c r="K34" s="281"/>
      <c r="L34" s="440"/>
      <c r="M34" s="281"/>
      <c r="N34" s="372"/>
      <c r="O34" s="254"/>
      <c r="P34" s="372"/>
      <c r="Q34" s="254"/>
      <c r="R34" s="372"/>
      <c r="S34" s="254"/>
      <c r="T34" s="372">
        <v>81242</v>
      </c>
      <c r="U34" s="254"/>
      <c r="V34" s="372"/>
      <c r="W34" s="254"/>
      <c r="X34" s="372">
        <v>68127</v>
      </c>
      <c r="Y34" s="254"/>
      <c r="Z34" s="372">
        <v>70190</v>
      </c>
      <c r="AA34" s="583"/>
      <c r="AB34" s="33"/>
      <c r="AC34" s="682">
        <f t="shared" ref="AC34:AC35" si="2">AVERAGE(X34,V34,T34,R34,Z34)</f>
        <v>73186.333333333328</v>
      </c>
    </row>
    <row r="35" spans="1:29" x14ac:dyDescent="0.2">
      <c r="A35" s="3"/>
      <c r="B35" s="871" t="s">
        <v>56</v>
      </c>
      <c r="C35" s="215"/>
      <c r="D35" s="216">
        <f>SUM(D32:D34)</f>
        <v>910145</v>
      </c>
      <c r="E35" s="106"/>
      <c r="F35" s="222">
        <f>SUM(F32:F34)</f>
        <v>955019</v>
      </c>
      <c r="G35" s="284"/>
      <c r="H35" s="373">
        <f>SUM(H32:H34)</f>
        <v>1055833</v>
      </c>
      <c r="I35" s="365"/>
      <c r="J35" s="441">
        <f>SUM(J32:J34)</f>
        <v>1102218</v>
      </c>
      <c r="K35" s="284"/>
      <c r="L35" s="441">
        <f>SUM(L32:L34)</f>
        <v>1131447</v>
      </c>
      <c r="M35" s="284"/>
      <c r="N35" s="373">
        <f>SUM(N32:N34)</f>
        <v>1250002</v>
      </c>
      <c r="O35" s="365"/>
      <c r="P35" s="373">
        <f>SUM(P32:P34)</f>
        <v>1190686</v>
      </c>
      <c r="Q35" s="365"/>
      <c r="R35" s="373">
        <f>SUM(R32:R34)</f>
        <v>1203343</v>
      </c>
      <c r="S35" s="365"/>
      <c r="T35" s="373">
        <f>SUM(T32:T34)</f>
        <v>1234785</v>
      </c>
      <c r="U35" s="365"/>
      <c r="V35" s="373">
        <f>SUM(V32:V34)</f>
        <v>1262356</v>
      </c>
      <c r="W35" s="365"/>
      <c r="X35" s="373">
        <f>SUM(X32:X34)</f>
        <v>1558692</v>
      </c>
      <c r="Y35" s="365"/>
      <c r="Z35" s="373">
        <f>SUM(Z32:Z34)</f>
        <v>1627200</v>
      </c>
      <c r="AA35" s="583"/>
      <c r="AB35" s="34"/>
      <c r="AC35" s="681">
        <f t="shared" si="2"/>
        <v>1377275.2</v>
      </c>
    </row>
    <row r="36" spans="1:29" x14ac:dyDescent="0.2">
      <c r="A36" s="3"/>
      <c r="B36" s="868" t="s">
        <v>57</v>
      </c>
      <c r="C36" s="151"/>
      <c r="D36" s="214"/>
      <c r="E36" s="34"/>
      <c r="F36" s="221"/>
      <c r="G36" s="281"/>
      <c r="H36" s="372"/>
      <c r="I36" s="254"/>
      <c r="J36" s="440"/>
      <c r="K36" s="281"/>
      <c r="L36" s="440"/>
      <c r="M36" s="281"/>
      <c r="N36" s="372"/>
      <c r="O36" s="254"/>
      <c r="P36" s="372"/>
      <c r="Q36" s="254"/>
      <c r="R36" s="372"/>
      <c r="S36" s="254"/>
      <c r="T36" s="372"/>
      <c r="U36" s="254"/>
      <c r="V36" s="372"/>
      <c r="W36" s="254"/>
      <c r="X36" s="372"/>
      <c r="Y36" s="254"/>
      <c r="Z36" s="372"/>
      <c r="AA36" s="583"/>
      <c r="AC36" s="678"/>
    </row>
    <row r="37" spans="1:29" x14ac:dyDescent="0.2">
      <c r="A37" s="3"/>
      <c r="B37" s="869" t="s">
        <v>54</v>
      </c>
      <c r="C37" s="151"/>
      <c r="D37" s="214"/>
      <c r="E37" s="34"/>
      <c r="F37" s="221"/>
      <c r="G37" s="281"/>
      <c r="H37" s="372"/>
      <c r="I37" s="254"/>
      <c r="J37" s="440"/>
      <c r="K37" s="281"/>
      <c r="L37" s="440"/>
      <c r="M37" s="281"/>
      <c r="N37" s="372"/>
      <c r="O37" s="254"/>
      <c r="P37" s="372"/>
      <c r="Q37" s="254"/>
      <c r="R37" s="372"/>
      <c r="S37" s="254"/>
      <c r="T37" s="372"/>
      <c r="U37" s="254"/>
      <c r="V37" s="372"/>
      <c r="W37" s="254"/>
      <c r="X37" s="372"/>
      <c r="Y37" s="254"/>
      <c r="Z37" s="372"/>
      <c r="AA37" s="583"/>
      <c r="AC37" s="678"/>
    </row>
    <row r="38" spans="1:29" hidden="1" x14ac:dyDescent="0.2">
      <c r="A38" s="3"/>
      <c r="B38" s="869" t="s">
        <v>58</v>
      </c>
      <c r="C38" s="151"/>
      <c r="D38" s="214"/>
      <c r="E38" s="34"/>
      <c r="F38" s="221"/>
      <c r="G38" s="281"/>
      <c r="H38" s="372"/>
      <c r="I38" s="254"/>
      <c r="J38" s="440"/>
      <c r="K38" s="281"/>
      <c r="L38" s="440"/>
      <c r="M38" s="281"/>
      <c r="N38" s="372"/>
      <c r="O38" s="254"/>
      <c r="P38" s="372"/>
      <c r="Q38" s="254"/>
      <c r="R38" s="372"/>
      <c r="S38" s="254"/>
      <c r="T38" s="372"/>
      <c r="U38" s="254"/>
      <c r="V38" s="372"/>
      <c r="W38" s="254"/>
      <c r="X38" s="372"/>
      <c r="Y38" s="254"/>
      <c r="Z38" s="372"/>
      <c r="AA38" s="583"/>
      <c r="AC38" s="678"/>
    </row>
    <row r="39" spans="1:29" ht="36" x14ac:dyDescent="0.2">
      <c r="A39" s="3"/>
      <c r="B39" s="870" t="s">
        <v>65</v>
      </c>
      <c r="C39" s="151"/>
      <c r="D39" s="214"/>
      <c r="E39" s="34"/>
      <c r="F39" s="221"/>
      <c r="G39" s="281"/>
      <c r="H39" s="372"/>
      <c r="I39" s="254"/>
      <c r="J39" s="440"/>
      <c r="K39" s="281"/>
      <c r="L39" s="440"/>
      <c r="M39" s="281"/>
      <c r="N39" s="372"/>
      <c r="O39" s="254"/>
      <c r="P39" s="372"/>
      <c r="Q39" s="254"/>
      <c r="R39" s="372"/>
      <c r="S39" s="254"/>
      <c r="T39" s="372"/>
      <c r="U39" s="254"/>
      <c r="V39" s="372"/>
      <c r="W39" s="254"/>
      <c r="X39" s="372"/>
      <c r="Y39" s="254"/>
      <c r="Z39" s="372"/>
      <c r="AA39" s="583"/>
      <c r="AB39" s="33"/>
      <c r="AC39" s="682"/>
    </row>
    <row r="40" spans="1:29" x14ac:dyDescent="0.2">
      <c r="A40" s="3"/>
      <c r="B40" s="871" t="s">
        <v>59</v>
      </c>
      <c r="C40" s="215"/>
      <c r="D40" s="216">
        <f>SUM(D37:D39)</f>
        <v>0</v>
      </c>
      <c r="E40" s="106"/>
      <c r="F40" s="222">
        <f>SUM(F37:F39)</f>
        <v>0</v>
      </c>
      <c r="G40" s="284"/>
      <c r="H40" s="373">
        <f>SUM(H37:H39)</f>
        <v>0</v>
      </c>
      <c r="I40" s="365"/>
      <c r="J40" s="441">
        <f>SUM(J37:J39)</f>
        <v>0</v>
      </c>
      <c r="K40" s="284"/>
      <c r="L40" s="441">
        <f>SUM(L37:L39)</f>
        <v>0</v>
      </c>
      <c r="M40" s="284"/>
      <c r="N40" s="373">
        <f>SUM(N37:N39)</f>
        <v>0</v>
      </c>
      <c r="O40" s="365"/>
      <c r="P40" s="373">
        <f>SUM(P37:P39)</f>
        <v>0</v>
      </c>
      <c r="Q40" s="365"/>
      <c r="R40" s="373">
        <f>SUM(R37:R39)</f>
        <v>0</v>
      </c>
      <c r="S40" s="365"/>
      <c r="T40" s="373">
        <f>SUM(T37:T39)</f>
        <v>0</v>
      </c>
      <c r="U40" s="365"/>
      <c r="V40" s="373">
        <f>SUM(V37:V39)</f>
        <v>0</v>
      </c>
      <c r="W40" s="365"/>
      <c r="X40" s="373">
        <f>SUM(X37:X39)</f>
        <v>0</v>
      </c>
      <c r="Y40" s="365"/>
      <c r="Z40" s="373">
        <f>SUM(Z37:Z39)</f>
        <v>0</v>
      </c>
      <c r="AB40" s="677"/>
      <c r="AC40" s="681">
        <f t="shared" ref="AC40" si="3">AVERAGE(X40,V40,T40,R40,P40)</f>
        <v>0</v>
      </c>
    </row>
    <row r="41" spans="1:29" ht="13.5" thickBot="1" x14ac:dyDescent="0.25">
      <c r="A41" s="3"/>
      <c r="B41" s="872" t="s">
        <v>60</v>
      </c>
      <c r="C41" s="151"/>
      <c r="D41" s="216">
        <f>SUM(D35,D40)</f>
        <v>910145</v>
      </c>
      <c r="E41" s="34"/>
      <c r="F41" s="222">
        <f>SUM(F35,F40)</f>
        <v>955019</v>
      </c>
      <c r="G41" s="281"/>
      <c r="H41" s="373">
        <f>SUM(H35,H40)</f>
        <v>1055833</v>
      </c>
      <c r="I41" s="254"/>
      <c r="J41" s="441">
        <f>SUM(J35,J40)</f>
        <v>1102218</v>
      </c>
      <c r="K41" s="281"/>
      <c r="L41" s="441">
        <f>SUM(L35,L40)</f>
        <v>1131447</v>
      </c>
      <c r="M41" s="281"/>
      <c r="N41" s="373">
        <f>SUM(N35,N40)</f>
        <v>1250002</v>
      </c>
      <c r="O41" s="254"/>
      <c r="P41" s="373">
        <f>SUM(P35,P40)</f>
        <v>1190686</v>
      </c>
      <c r="Q41" s="254"/>
      <c r="R41" s="373">
        <f>SUM(R35,R40)</f>
        <v>1203343</v>
      </c>
      <c r="S41" s="254"/>
      <c r="T41" s="373">
        <f>SUM(T35,T40)</f>
        <v>1234785</v>
      </c>
      <c r="U41" s="254"/>
      <c r="V41" s="373">
        <f>SUM(V35,V40)</f>
        <v>1262356</v>
      </c>
      <c r="W41" s="254"/>
      <c r="X41" s="373">
        <f>SUM(X35,X40)</f>
        <v>1558692</v>
      </c>
      <c r="Y41" s="254"/>
      <c r="Z41" s="373">
        <f>SUM(Z35,Z40)</f>
        <v>1627200</v>
      </c>
      <c r="AB41" s="679"/>
      <c r="AC41" s="680">
        <f>AVERAGE(X41,V41,T41,R41,Z41)</f>
        <v>1377275.2</v>
      </c>
    </row>
    <row r="42" spans="1:29" ht="12" x14ac:dyDescent="0.2">
      <c r="B42" s="873" t="s">
        <v>173</v>
      </c>
      <c r="C42" s="218"/>
      <c r="D42" s="219"/>
      <c r="E42" s="109"/>
      <c r="F42" s="109"/>
      <c r="G42" s="285"/>
      <c r="H42" s="374"/>
      <c r="I42" s="366"/>
      <c r="J42" s="366"/>
      <c r="K42" s="285"/>
      <c r="L42" s="366"/>
      <c r="M42" s="285"/>
      <c r="N42" s="374"/>
      <c r="O42" s="366"/>
      <c r="P42" s="374"/>
      <c r="Q42" s="366"/>
      <c r="R42" s="374"/>
      <c r="S42" s="366"/>
      <c r="T42" s="374"/>
      <c r="U42" s="366"/>
      <c r="V42" s="374"/>
      <c r="W42" s="366"/>
      <c r="X42" s="374"/>
      <c r="Y42" s="366"/>
      <c r="Z42" s="374"/>
      <c r="AB42" s="683"/>
      <c r="AC42" s="684"/>
    </row>
    <row r="43" spans="1:29" ht="12" x14ac:dyDescent="0.2">
      <c r="B43" s="49" t="s">
        <v>13</v>
      </c>
      <c r="C43" s="151"/>
      <c r="D43" s="333">
        <f>199157+725204</f>
        <v>924361</v>
      </c>
      <c r="E43" s="34"/>
      <c r="F43" s="424">
        <v>1119864</v>
      </c>
      <c r="G43" s="281"/>
      <c r="H43" s="423">
        <v>1238707.04</v>
      </c>
      <c r="I43" s="254"/>
      <c r="J43" s="343">
        <v>1081301.6299999999</v>
      </c>
      <c r="K43" s="281"/>
      <c r="L43" s="424">
        <f>1166433+73131</f>
        <v>1239564</v>
      </c>
      <c r="M43" s="281"/>
      <c r="N43" s="423">
        <v>1770853</v>
      </c>
      <c r="O43" s="254"/>
      <c r="P43" s="423">
        <v>1708982</v>
      </c>
      <c r="Q43" s="411"/>
      <c r="R43" s="423">
        <v>1829870</v>
      </c>
      <c r="S43" s="411"/>
      <c r="T43" s="423">
        <v>2110998</v>
      </c>
      <c r="U43" s="411"/>
      <c r="V43" s="423">
        <v>1532682</v>
      </c>
      <c r="W43" s="411"/>
      <c r="X43" s="423">
        <v>1998913.03</v>
      </c>
      <c r="Y43" s="411"/>
      <c r="Z43" s="1024"/>
      <c r="AB43" s="677"/>
      <c r="AC43" s="685">
        <f>AVERAGE(X43,V43,T43,R43,P43)</f>
        <v>1836289.0060000003</v>
      </c>
    </row>
    <row r="44" spans="1:29" thickBot="1" x14ac:dyDescent="0.25">
      <c r="B44" s="877" t="s">
        <v>14</v>
      </c>
      <c r="C44" s="223"/>
      <c r="D44" s="334">
        <v>9075</v>
      </c>
      <c r="E44" s="90"/>
      <c r="F44" s="259">
        <v>0</v>
      </c>
      <c r="G44" s="316"/>
      <c r="H44" s="781">
        <v>0</v>
      </c>
      <c r="I44" s="395"/>
      <c r="J44" s="343">
        <v>0</v>
      </c>
      <c r="K44" s="316"/>
      <c r="L44" s="424">
        <v>0</v>
      </c>
      <c r="M44" s="316"/>
      <c r="N44" s="781">
        <v>0</v>
      </c>
      <c r="O44" s="395"/>
      <c r="P44" s="423">
        <v>0</v>
      </c>
      <c r="Q44" s="969"/>
      <c r="R44" s="423">
        <v>0</v>
      </c>
      <c r="S44" s="969"/>
      <c r="T44" s="423">
        <v>0</v>
      </c>
      <c r="U44" s="969"/>
      <c r="V44" s="423">
        <v>0</v>
      </c>
      <c r="W44" s="969"/>
      <c r="X44" s="423">
        <v>0</v>
      </c>
      <c r="Y44" s="969"/>
      <c r="Z44" s="1024"/>
      <c r="AB44" s="679"/>
      <c r="AC44" s="777">
        <f>AVERAGE(X44,V44,T44,R44,P44)</f>
        <v>0</v>
      </c>
    </row>
    <row r="45" spans="1:29" ht="12" x14ac:dyDescent="0.2">
      <c r="B45" s="43"/>
      <c r="C45" s="169" t="s">
        <v>89</v>
      </c>
      <c r="D45" s="226" t="s">
        <v>96</v>
      </c>
      <c r="E45" s="95" t="s">
        <v>89</v>
      </c>
      <c r="F45" s="183" t="s">
        <v>96</v>
      </c>
      <c r="G45" s="169" t="s">
        <v>89</v>
      </c>
      <c r="H45" s="226" t="s">
        <v>96</v>
      </c>
      <c r="I45" s="255" t="s">
        <v>89</v>
      </c>
      <c r="J45" s="412" t="s">
        <v>96</v>
      </c>
      <c r="K45" s="288" t="s">
        <v>89</v>
      </c>
      <c r="L45" s="412" t="s">
        <v>96</v>
      </c>
      <c r="M45" s="288" t="s">
        <v>89</v>
      </c>
      <c r="N45" s="375" t="s">
        <v>96</v>
      </c>
      <c r="O45" s="255" t="s">
        <v>89</v>
      </c>
      <c r="P45" s="375" t="s">
        <v>96</v>
      </c>
      <c r="Q45" s="255" t="s">
        <v>89</v>
      </c>
      <c r="R45" s="375" t="s">
        <v>96</v>
      </c>
      <c r="S45" s="255" t="s">
        <v>89</v>
      </c>
      <c r="T45" s="375" t="s">
        <v>96</v>
      </c>
      <c r="U45" s="255" t="s">
        <v>89</v>
      </c>
      <c r="V45" s="375" t="s">
        <v>96</v>
      </c>
      <c r="W45" s="255" t="s">
        <v>89</v>
      </c>
      <c r="X45" s="375" t="s">
        <v>96</v>
      </c>
      <c r="Y45" s="255" t="s">
        <v>89</v>
      </c>
      <c r="Z45" s="375" t="s">
        <v>96</v>
      </c>
      <c r="AB45" s="736" t="s">
        <v>89</v>
      </c>
      <c r="AC45" s="256" t="s">
        <v>96</v>
      </c>
    </row>
    <row r="46" spans="1:29" ht="11.45" customHeight="1" x14ac:dyDescent="0.2">
      <c r="B46" s="52" t="s">
        <v>47</v>
      </c>
      <c r="C46" s="171">
        <v>0</v>
      </c>
      <c r="D46" s="467">
        <v>0</v>
      </c>
      <c r="E46" s="100">
        <v>0</v>
      </c>
      <c r="F46" s="134">
        <v>0</v>
      </c>
      <c r="G46" s="698">
        <v>0</v>
      </c>
      <c r="H46" s="467">
        <v>0</v>
      </c>
      <c r="I46" s="783">
        <v>1</v>
      </c>
      <c r="J46" s="462">
        <v>0</v>
      </c>
      <c r="K46" s="701">
        <v>0</v>
      </c>
      <c r="L46" s="411">
        <v>0</v>
      </c>
      <c r="M46" s="701">
        <v>0</v>
      </c>
      <c r="N46" s="457">
        <v>0</v>
      </c>
      <c r="O46" s="701">
        <v>0</v>
      </c>
      <c r="P46" s="457">
        <v>0</v>
      </c>
      <c r="Q46" s="701">
        <v>0</v>
      </c>
      <c r="R46" s="457">
        <v>0</v>
      </c>
      <c r="S46" s="701">
        <v>0</v>
      </c>
      <c r="T46" s="457">
        <v>0</v>
      </c>
      <c r="U46" s="701">
        <v>0</v>
      </c>
      <c r="V46" s="457">
        <v>0</v>
      </c>
      <c r="W46" s="701">
        <v>0</v>
      </c>
      <c r="X46" s="457">
        <v>0</v>
      </c>
      <c r="Y46" s="1026"/>
      <c r="Z46" s="1036"/>
      <c r="AB46" s="723">
        <f t="shared" ref="AB46:AC46" si="4">AVERAGE(W46,U46,S46,Q46,Y46)</f>
        <v>0</v>
      </c>
      <c r="AC46" s="724">
        <f t="shared" si="4"/>
        <v>0</v>
      </c>
    </row>
    <row r="47" spans="1:29" ht="11.25" customHeight="1" x14ac:dyDescent="0.2">
      <c r="B47" s="52"/>
      <c r="C47" s="172"/>
      <c r="D47" s="468"/>
      <c r="E47" s="707"/>
      <c r="F47" s="282"/>
      <c r="G47" s="705"/>
      <c r="H47" s="468"/>
      <c r="I47" s="455"/>
      <c r="J47" s="463"/>
      <c r="K47" s="709"/>
      <c r="L47" s="432"/>
      <c r="M47" s="709"/>
      <c r="N47" s="577"/>
      <c r="O47" s="709"/>
      <c r="P47" s="577"/>
      <c r="Q47" s="709"/>
      <c r="R47" s="577"/>
      <c r="S47" s="709"/>
      <c r="T47" s="577"/>
      <c r="U47" s="709"/>
      <c r="V47" s="577"/>
      <c r="W47" s="709"/>
      <c r="X47" s="577"/>
      <c r="Y47" s="1028"/>
      <c r="Z47" s="1029"/>
      <c r="AB47" s="725"/>
      <c r="AC47" s="726"/>
    </row>
    <row r="48" spans="1:29" thickBot="1" x14ac:dyDescent="0.25">
      <c r="B48" s="880" t="s">
        <v>15</v>
      </c>
      <c r="C48" s="174">
        <v>0</v>
      </c>
      <c r="D48" s="469">
        <v>0</v>
      </c>
      <c r="E48" s="716">
        <v>0</v>
      </c>
      <c r="F48" s="322">
        <v>0</v>
      </c>
      <c r="G48" s="714">
        <v>0</v>
      </c>
      <c r="H48" s="469">
        <v>0</v>
      </c>
      <c r="I48" s="720">
        <v>0</v>
      </c>
      <c r="J48" s="461">
        <v>0</v>
      </c>
      <c r="K48" s="718">
        <v>0</v>
      </c>
      <c r="L48" s="461">
        <v>0</v>
      </c>
      <c r="M48" s="718">
        <v>0</v>
      </c>
      <c r="N48" s="459">
        <v>0</v>
      </c>
      <c r="O48" s="718">
        <v>0</v>
      </c>
      <c r="P48" s="459">
        <v>0</v>
      </c>
      <c r="Q48" s="718">
        <v>0</v>
      </c>
      <c r="R48" s="459">
        <v>0</v>
      </c>
      <c r="S48" s="718">
        <v>0</v>
      </c>
      <c r="T48" s="459">
        <v>0</v>
      </c>
      <c r="U48" s="718">
        <v>0</v>
      </c>
      <c r="V48" s="459">
        <v>0</v>
      </c>
      <c r="W48" s="718">
        <v>0</v>
      </c>
      <c r="X48" s="459">
        <v>0</v>
      </c>
      <c r="Y48" s="1030"/>
      <c r="Z48" s="1031"/>
      <c r="AB48" s="727">
        <f t="shared" ref="AB48:AC48" si="5">AVERAGE(W48,U48,S48,Q48,Y48)</f>
        <v>0</v>
      </c>
      <c r="AC48" s="728">
        <f t="shared" si="5"/>
        <v>0</v>
      </c>
    </row>
    <row r="49" spans="1:29" ht="12" x14ac:dyDescent="0.2">
      <c r="B49" s="873" t="s">
        <v>66</v>
      </c>
      <c r="C49" s="175"/>
      <c r="D49" s="186"/>
      <c r="E49" s="114"/>
      <c r="F49" s="283"/>
      <c r="G49" s="289"/>
      <c r="H49" s="376"/>
      <c r="I49" s="368"/>
      <c r="J49" s="433"/>
      <c r="K49" s="289"/>
      <c r="L49" s="433"/>
      <c r="M49" s="289"/>
      <c r="N49" s="376"/>
      <c r="O49" s="368"/>
      <c r="P49" s="376"/>
      <c r="Q49" s="368"/>
      <c r="R49" s="376"/>
      <c r="S49" s="368"/>
      <c r="T49" s="376"/>
      <c r="U49" s="368"/>
      <c r="V49" s="376"/>
      <c r="W49" s="368"/>
      <c r="X49" s="376"/>
      <c r="Y49" s="368"/>
      <c r="Z49" s="376"/>
      <c r="AA49" s="583"/>
      <c r="AC49" s="583"/>
    </row>
    <row r="50" spans="1:29" ht="6" customHeight="1" x14ac:dyDescent="0.2">
      <c r="B50" s="881" t="s">
        <v>67</v>
      </c>
      <c r="C50" s="177"/>
      <c r="D50" s="187"/>
      <c r="E50" s="39"/>
      <c r="F50" s="61"/>
      <c r="G50" s="290"/>
      <c r="H50" s="377"/>
      <c r="I50" s="257"/>
      <c r="J50" s="250"/>
      <c r="K50" s="290"/>
      <c r="L50" s="250"/>
      <c r="M50" s="290"/>
      <c r="N50" s="377"/>
      <c r="O50" s="257"/>
      <c r="P50" s="377"/>
      <c r="Q50" s="257"/>
      <c r="R50" s="377"/>
      <c r="S50" s="257"/>
      <c r="T50" s="377"/>
      <c r="U50" s="257"/>
      <c r="V50" s="377"/>
      <c r="W50" s="257"/>
      <c r="X50" s="377"/>
      <c r="Y50" s="257"/>
      <c r="Z50" s="377"/>
      <c r="AA50" s="583"/>
      <c r="AC50" s="583"/>
    </row>
    <row r="51" spans="1:29" ht="12" x14ac:dyDescent="0.2">
      <c r="B51" s="894" t="s">
        <v>68</v>
      </c>
      <c r="C51" s="178"/>
      <c r="D51" s="188">
        <v>63546.86</v>
      </c>
      <c r="E51" s="37"/>
      <c r="F51" s="307">
        <v>105282.34</v>
      </c>
      <c r="G51" s="291"/>
      <c r="H51" s="487">
        <v>1061001.74</v>
      </c>
      <c r="I51" s="369"/>
      <c r="J51" s="502">
        <v>125148.84</v>
      </c>
      <c r="K51" s="500"/>
      <c r="L51" s="559">
        <v>121236.25</v>
      </c>
      <c r="M51" s="500"/>
      <c r="N51" s="839">
        <v>106630</v>
      </c>
      <c r="O51" s="813"/>
      <c r="P51" s="839">
        <v>109949</v>
      </c>
      <c r="Q51" s="813"/>
      <c r="R51" s="839">
        <v>196425</v>
      </c>
      <c r="S51" s="813"/>
      <c r="T51" s="839">
        <v>214744.48</v>
      </c>
      <c r="U51" s="813"/>
      <c r="V51" s="839">
        <v>171647.1</v>
      </c>
      <c r="W51" s="813"/>
      <c r="X51" s="839">
        <v>191434.78</v>
      </c>
      <c r="Y51" s="813"/>
      <c r="Z51" s="1037"/>
      <c r="AA51" s="583"/>
      <c r="AB51" s="33"/>
      <c r="AC51" s="687">
        <f t="shared" ref="AC51:AC52" si="6">AVERAGE(X51,V51,T51,R51,P51)</f>
        <v>176840.07199999999</v>
      </c>
    </row>
    <row r="52" spans="1:29" thickBot="1" x14ac:dyDescent="0.25">
      <c r="B52" s="895" t="s">
        <v>69</v>
      </c>
      <c r="C52" s="180"/>
      <c r="D52" s="486">
        <v>0</v>
      </c>
      <c r="E52" s="38"/>
      <c r="F52" s="330">
        <v>0</v>
      </c>
      <c r="G52" s="292"/>
      <c r="H52" s="486">
        <v>509632.63</v>
      </c>
      <c r="I52" s="370"/>
      <c r="J52" s="505">
        <v>595093.57999999996</v>
      </c>
      <c r="K52" s="501"/>
      <c r="L52" s="505">
        <v>593846.1</v>
      </c>
      <c r="M52" s="501"/>
      <c r="N52" s="840">
        <v>0</v>
      </c>
      <c r="O52" s="814"/>
      <c r="P52" s="840">
        <v>0</v>
      </c>
      <c r="Q52" s="814"/>
      <c r="R52" s="840">
        <v>0</v>
      </c>
      <c r="S52" s="814"/>
      <c r="T52" s="840">
        <v>0</v>
      </c>
      <c r="U52" s="814"/>
      <c r="V52" s="840">
        <v>0</v>
      </c>
      <c r="W52" s="814"/>
      <c r="X52" s="840">
        <v>0</v>
      </c>
      <c r="Y52" s="814"/>
      <c r="Z52" s="1038"/>
      <c r="AA52" s="583"/>
      <c r="AB52" s="12"/>
      <c r="AC52" s="686">
        <f t="shared" si="6"/>
        <v>0</v>
      </c>
    </row>
    <row r="53" spans="1:29" thickTop="1" x14ac:dyDescent="0.2">
      <c r="B53" s="92"/>
      <c r="C53" s="39"/>
      <c r="D53" s="94"/>
      <c r="E53" s="39"/>
      <c r="F53" s="61"/>
      <c r="G53" s="257"/>
      <c r="H53" s="250"/>
      <c r="I53" s="257"/>
      <c r="J53" s="250"/>
      <c r="K53" s="257"/>
      <c r="L53" s="250"/>
      <c r="M53" s="257"/>
      <c r="N53" s="250"/>
      <c r="O53" s="257"/>
      <c r="P53" s="250"/>
      <c r="Q53" s="257"/>
      <c r="R53" s="250"/>
      <c r="S53" s="257"/>
      <c r="T53" s="250"/>
      <c r="U53" s="257"/>
      <c r="V53" s="250"/>
      <c r="W53" s="257"/>
      <c r="X53" s="250"/>
      <c r="Y53" s="257"/>
      <c r="Z53" s="250"/>
      <c r="AC53" s="605"/>
    </row>
    <row r="54" spans="1:29" x14ac:dyDescent="0.2">
      <c r="A54" s="3" t="s">
        <v>62</v>
      </c>
      <c r="B54" s="92"/>
      <c r="C54" s="39"/>
      <c r="D54" s="94"/>
      <c r="E54" s="39"/>
      <c r="F54" s="61"/>
      <c r="G54" s="257"/>
      <c r="H54" s="250"/>
      <c r="I54" s="257"/>
      <c r="J54" s="250"/>
      <c r="K54" s="257"/>
      <c r="L54" s="250"/>
      <c r="M54" s="257"/>
      <c r="N54" s="250"/>
      <c r="O54" s="257"/>
      <c r="P54" s="250"/>
      <c r="Q54" s="257"/>
      <c r="R54" s="250"/>
      <c r="S54" s="257"/>
      <c r="T54" s="250"/>
      <c r="U54" s="257"/>
      <c r="V54" s="250"/>
      <c r="W54" s="257"/>
      <c r="X54" s="250"/>
      <c r="Y54" s="257"/>
      <c r="Z54" s="250"/>
      <c r="AC54" s="59"/>
    </row>
    <row r="55" spans="1:29" thickBot="1" x14ac:dyDescent="0.25">
      <c r="B55" s="92"/>
      <c r="C55" s="39"/>
      <c r="D55" s="94"/>
      <c r="E55" s="39"/>
      <c r="F55" s="61"/>
      <c r="G55" s="257"/>
      <c r="H55" s="250"/>
      <c r="I55" s="257"/>
      <c r="J55" s="250"/>
      <c r="K55" s="257"/>
      <c r="L55" s="250"/>
      <c r="M55" s="564"/>
      <c r="N55" s="250"/>
      <c r="O55" s="564"/>
      <c r="P55" s="250"/>
      <c r="Q55" s="564"/>
      <c r="R55" s="250"/>
      <c r="S55" s="564"/>
      <c r="T55" s="250"/>
      <c r="U55" s="564"/>
      <c r="V55" s="250"/>
      <c r="W55" s="564"/>
      <c r="X55" s="250"/>
      <c r="Y55" s="564"/>
      <c r="Z55" s="250"/>
      <c r="AB55" s="12"/>
      <c r="AC55" s="12"/>
    </row>
    <row r="56" spans="1:29" ht="13.5" thickTop="1" thickBot="1" x14ac:dyDescent="0.25">
      <c r="B56" s="866"/>
      <c r="C56" s="1151" t="s">
        <v>39</v>
      </c>
      <c r="D56" s="1152"/>
      <c r="E56" s="1153" t="s">
        <v>40</v>
      </c>
      <c r="F56" s="1153"/>
      <c r="G56" s="1150" t="s">
        <v>97</v>
      </c>
      <c r="H56" s="1134"/>
      <c r="I56" s="1133" t="s">
        <v>108</v>
      </c>
      <c r="J56" s="1133"/>
      <c r="K56" s="1150" t="s">
        <v>109</v>
      </c>
      <c r="L56" s="1133"/>
      <c r="M56" s="1150" t="s">
        <v>111</v>
      </c>
      <c r="N56" s="1134"/>
      <c r="O56" s="1133" t="s">
        <v>164</v>
      </c>
      <c r="P56" s="1134"/>
      <c r="Q56" s="1133" t="s">
        <v>169</v>
      </c>
      <c r="R56" s="1134"/>
      <c r="S56" s="1133" t="s">
        <v>176</v>
      </c>
      <c r="T56" s="1134"/>
      <c r="U56" s="1133" t="s">
        <v>179</v>
      </c>
      <c r="V56" s="1134"/>
      <c r="W56" s="1133" t="s">
        <v>183</v>
      </c>
      <c r="X56" s="1134"/>
      <c r="Y56" s="1133" t="s">
        <v>187</v>
      </c>
      <c r="Z56" s="1134"/>
      <c r="AA56" s="583"/>
      <c r="AB56" s="1197" t="s">
        <v>118</v>
      </c>
      <c r="AC56" s="1222"/>
    </row>
    <row r="57" spans="1:29" ht="12" x14ac:dyDescent="0.2">
      <c r="B57" s="45" t="s">
        <v>43</v>
      </c>
      <c r="C57" s="149"/>
      <c r="D57" s="150"/>
      <c r="E57" s="33"/>
      <c r="F57" s="33"/>
      <c r="G57" s="280"/>
      <c r="H57" s="360"/>
      <c r="I57" s="358"/>
      <c r="J57" s="358"/>
      <c r="K57" s="280"/>
      <c r="L57" s="358"/>
      <c r="M57" s="280"/>
      <c r="N57" s="360"/>
      <c r="O57" s="358"/>
      <c r="P57" s="360"/>
      <c r="Q57" s="358"/>
      <c r="R57" s="360"/>
      <c r="S57" s="358"/>
      <c r="T57" s="360"/>
      <c r="U57" s="358"/>
      <c r="V57" s="360"/>
      <c r="W57" s="358"/>
      <c r="X57" s="360"/>
      <c r="Y57" s="358"/>
      <c r="Z57" s="360"/>
      <c r="AA57" s="583"/>
      <c r="AC57" s="583"/>
    </row>
    <row r="58" spans="1:29" ht="12" x14ac:dyDescent="0.2">
      <c r="B58" s="46" t="s">
        <v>44</v>
      </c>
      <c r="C58" s="151"/>
      <c r="D58" s="191"/>
      <c r="E58" s="34"/>
      <c r="F58" s="117"/>
      <c r="G58" s="281"/>
      <c r="H58" s="383"/>
      <c r="I58" s="254"/>
      <c r="J58" s="259"/>
      <c r="K58" s="281"/>
      <c r="L58" s="259"/>
      <c r="M58" s="281"/>
      <c r="N58" s="383"/>
      <c r="O58" s="254"/>
      <c r="P58" s="383"/>
      <c r="Q58" s="254"/>
      <c r="R58" s="383"/>
      <c r="S58" s="254"/>
      <c r="T58" s="383"/>
      <c r="U58" s="254"/>
      <c r="V58" s="383"/>
      <c r="W58" s="254"/>
      <c r="X58" s="383"/>
      <c r="Y58" s="254"/>
      <c r="Z58" s="383"/>
      <c r="AA58" s="583"/>
      <c r="AC58" s="583"/>
    </row>
    <row r="59" spans="1:29" ht="12" x14ac:dyDescent="0.2">
      <c r="B59" s="47" t="s">
        <v>45</v>
      </c>
      <c r="C59" s="151"/>
      <c r="D59" s="191">
        <v>7</v>
      </c>
      <c r="E59" s="34"/>
      <c r="F59" s="117">
        <v>7</v>
      </c>
      <c r="G59" s="281"/>
      <c r="H59" s="383">
        <v>8</v>
      </c>
      <c r="I59" s="254"/>
      <c r="J59" s="259">
        <v>6</v>
      </c>
      <c r="K59" s="281"/>
      <c r="L59" s="259">
        <v>8</v>
      </c>
      <c r="M59" s="281"/>
      <c r="N59" s="383">
        <v>7</v>
      </c>
      <c r="O59" s="254"/>
      <c r="P59" s="383">
        <v>7</v>
      </c>
      <c r="Q59" s="254"/>
      <c r="R59" s="383">
        <v>7</v>
      </c>
      <c r="S59" s="254"/>
      <c r="T59" s="383">
        <v>7</v>
      </c>
      <c r="U59" s="254"/>
      <c r="V59" s="383">
        <v>7</v>
      </c>
      <c r="W59" s="254"/>
      <c r="X59" s="383">
        <v>8</v>
      </c>
      <c r="Y59" s="254"/>
      <c r="Z59" s="383">
        <v>8</v>
      </c>
      <c r="AA59" s="583"/>
      <c r="AC59" s="601">
        <f t="shared" ref="AC59:AC60" si="7">AVERAGE(X59,V59,T59,R59,Z59)</f>
        <v>7.4</v>
      </c>
    </row>
    <row r="60" spans="1:29" ht="12" x14ac:dyDescent="0.2">
      <c r="B60" s="47" t="s">
        <v>144</v>
      </c>
      <c r="C60" s="151"/>
      <c r="D60" s="191">
        <v>2</v>
      </c>
      <c r="E60" s="34"/>
      <c r="F60" s="117">
        <v>2</v>
      </c>
      <c r="G60" s="281"/>
      <c r="H60" s="383">
        <v>1</v>
      </c>
      <c r="I60" s="254"/>
      <c r="J60" s="259">
        <v>1</v>
      </c>
      <c r="K60" s="281"/>
      <c r="L60" s="259">
        <v>1</v>
      </c>
      <c r="M60" s="281"/>
      <c r="N60" s="383">
        <v>2</v>
      </c>
      <c r="O60" s="254"/>
      <c r="P60" s="383">
        <v>2</v>
      </c>
      <c r="Q60" s="254"/>
      <c r="R60" s="383">
        <v>3</v>
      </c>
      <c r="S60" s="254"/>
      <c r="T60" s="383">
        <v>2</v>
      </c>
      <c r="U60" s="254"/>
      <c r="V60" s="383">
        <v>2</v>
      </c>
      <c r="W60" s="254"/>
      <c r="X60" s="383">
        <v>3</v>
      </c>
      <c r="Y60" s="254"/>
      <c r="Z60" s="383">
        <v>3</v>
      </c>
      <c r="AA60" s="583"/>
      <c r="AC60" s="601">
        <f t="shared" si="7"/>
        <v>2.6</v>
      </c>
    </row>
    <row r="61" spans="1:29" ht="12" x14ac:dyDescent="0.2">
      <c r="B61" s="46" t="s">
        <v>46</v>
      </c>
      <c r="C61" s="151"/>
      <c r="D61" s="153"/>
      <c r="E61" s="34"/>
      <c r="F61" s="53"/>
      <c r="G61" s="281"/>
      <c r="H61" s="363"/>
      <c r="I61" s="254"/>
      <c r="J61" s="121"/>
      <c r="K61" s="281"/>
      <c r="L61" s="121"/>
      <c r="M61" s="281"/>
      <c r="N61" s="363"/>
      <c r="O61" s="254"/>
      <c r="P61" s="363"/>
      <c r="Q61" s="254"/>
      <c r="R61" s="363"/>
      <c r="S61" s="254"/>
      <c r="T61" s="363"/>
      <c r="U61" s="254"/>
      <c r="V61" s="363"/>
      <c r="W61" s="254"/>
      <c r="X61" s="363"/>
      <c r="Y61" s="254"/>
      <c r="Z61" s="363"/>
      <c r="AA61" s="583"/>
      <c r="AC61" s="601"/>
    </row>
    <row r="62" spans="1:29" ht="12" x14ac:dyDescent="0.2">
      <c r="B62" s="47" t="s">
        <v>45</v>
      </c>
      <c r="C62" s="151"/>
      <c r="D62" s="153">
        <v>0</v>
      </c>
      <c r="E62" s="34"/>
      <c r="F62" s="53">
        <v>0</v>
      </c>
      <c r="G62" s="281"/>
      <c r="H62" s="363">
        <v>0</v>
      </c>
      <c r="I62" s="254"/>
      <c r="J62" s="121">
        <v>0</v>
      </c>
      <c r="K62" s="281"/>
      <c r="L62" s="121">
        <v>0</v>
      </c>
      <c r="M62" s="281"/>
      <c r="N62" s="363">
        <v>0</v>
      </c>
      <c r="O62" s="254"/>
      <c r="P62" s="363">
        <v>0</v>
      </c>
      <c r="Q62" s="254"/>
      <c r="R62" s="363">
        <v>0</v>
      </c>
      <c r="S62" s="254"/>
      <c r="T62" s="363">
        <v>0</v>
      </c>
      <c r="U62" s="254"/>
      <c r="V62" s="363">
        <v>0</v>
      </c>
      <c r="W62" s="254"/>
      <c r="X62" s="363">
        <v>0</v>
      </c>
      <c r="Y62" s="254"/>
      <c r="Z62" s="363">
        <v>0</v>
      </c>
      <c r="AA62" s="583"/>
      <c r="AC62" s="601">
        <f t="shared" ref="AC62:AC64" si="8">AVERAGE(X62,V62,T62,R62,Z62)</f>
        <v>0</v>
      </c>
    </row>
    <row r="63" spans="1:29" ht="12" x14ac:dyDescent="0.2">
      <c r="B63" s="615" t="s">
        <v>144</v>
      </c>
      <c r="C63" s="151"/>
      <c r="D63" s="153">
        <v>0</v>
      </c>
      <c r="E63" s="34"/>
      <c r="F63" s="53">
        <v>0</v>
      </c>
      <c r="G63" s="281"/>
      <c r="H63" s="363">
        <v>0</v>
      </c>
      <c r="I63" s="254"/>
      <c r="J63" s="121">
        <v>0</v>
      </c>
      <c r="K63" s="281"/>
      <c r="L63" s="121">
        <v>0</v>
      </c>
      <c r="M63" s="281"/>
      <c r="N63" s="363">
        <v>0</v>
      </c>
      <c r="O63" s="254"/>
      <c r="P63" s="363">
        <v>0</v>
      </c>
      <c r="Q63" s="254"/>
      <c r="R63" s="363">
        <v>0</v>
      </c>
      <c r="S63" s="254"/>
      <c r="T63" s="363">
        <v>0</v>
      </c>
      <c r="U63" s="254"/>
      <c r="V63" s="363">
        <v>0</v>
      </c>
      <c r="W63" s="254"/>
      <c r="X63" s="363">
        <v>0</v>
      </c>
      <c r="Y63" s="254"/>
      <c r="Z63" s="363">
        <v>0</v>
      </c>
      <c r="AA63" s="583"/>
      <c r="AC63" s="601">
        <f t="shared" si="8"/>
        <v>0</v>
      </c>
    </row>
    <row r="64" spans="1:29" thickBot="1" x14ac:dyDescent="0.25">
      <c r="B64" s="50" t="s">
        <v>12</v>
      </c>
      <c r="C64" s="192"/>
      <c r="D64" s="155">
        <f>SUM(D59:D63)</f>
        <v>9</v>
      </c>
      <c r="E64" s="99"/>
      <c r="F64" s="98">
        <f>SUM(F59:F63)</f>
        <v>9</v>
      </c>
      <c r="G64" s="309"/>
      <c r="H64" s="384">
        <v>9</v>
      </c>
      <c r="I64" s="378"/>
      <c r="J64" s="434">
        <f>SUM(J59:J63)</f>
        <v>7</v>
      </c>
      <c r="K64" s="309"/>
      <c r="L64" s="434">
        <f>SUM(L59:L63)</f>
        <v>9</v>
      </c>
      <c r="M64" s="309"/>
      <c r="N64" s="384">
        <f>SUM(N59:N63)</f>
        <v>9</v>
      </c>
      <c r="O64" s="378"/>
      <c r="P64" s="384">
        <f>SUM(P59:P63)</f>
        <v>9</v>
      </c>
      <c r="Q64" s="378"/>
      <c r="R64" s="384">
        <f>SUM(R59:R63)</f>
        <v>10</v>
      </c>
      <c r="S64" s="378"/>
      <c r="T64" s="384">
        <f>SUM(T59:T63)</f>
        <v>9</v>
      </c>
      <c r="U64" s="378"/>
      <c r="V64" s="384">
        <f>SUM(V59:V63)</f>
        <v>9</v>
      </c>
      <c r="W64" s="378"/>
      <c r="X64" s="384">
        <f>SUM(X59:X63)</f>
        <v>11</v>
      </c>
      <c r="Y64" s="378"/>
      <c r="Z64" s="384">
        <f>SUM(Z59:Z63)</f>
        <v>11</v>
      </c>
      <c r="AB64" s="604"/>
      <c r="AC64" s="668">
        <f t="shared" si="8"/>
        <v>10</v>
      </c>
    </row>
    <row r="65" spans="2:29" thickTop="1" x14ac:dyDescent="0.2">
      <c r="B65" s="627" t="s">
        <v>92</v>
      </c>
      <c r="C65" s="193"/>
      <c r="D65" s="194"/>
      <c r="E65" s="147"/>
      <c r="F65" s="190"/>
      <c r="G65" s="310" t="s">
        <v>89</v>
      </c>
      <c r="H65" s="385" t="s">
        <v>90</v>
      </c>
      <c r="I65" s="310" t="s">
        <v>89</v>
      </c>
      <c r="J65" s="385" t="s">
        <v>90</v>
      </c>
      <c r="K65" s="310" t="s">
        <v>89</v>
      </c>
      <c r="L65" s="385" t="s">
        <v>90</v>
      </c>
      <c r="M65" s="310" t="s">
        <v>89</v>
      </c>
      <c r="N65" s="385" t="s">
        <v>90</v>
      </c>
      <c r="O65" s="310" t="s">
        <v>89</v>
      </c>
      <c r="P65" s="385" t="s">
        <v>90</v>
      </c>
      <c r="Q65" s="310" t="s">
        <v>89</v>
      </c>
      <c r="R65" s="385" t="s">
        <v>90</v>
      </c>
      <c r="S65" s="310" t="s">
        <v>89</v>
      </c>
      <c r="T65" s="385" t="s">
        <v>90</v>
      </c>
      <c r="U65" s="310" t="s">
        <v>89</v>
      </c>
      <c r="V65" s="385" t="s">
        <v>90</v>
      </c>
      <c r="W65" s="310" t="s">
        <v>89</v>
      </c>
      <c r="X65" s="385" t="s">
        <v>90</v>
      </c>
      <c r="Y65" s="310" t="s">
        <v>89</v>
      </c>
      <c r="Z65" s="385" t="s">
        <v>90</v>
      </c>
      <c r="AB65" s="737" t="s">
        <v>89</v>
      </c>
      <c r="AC65" s="694" t="s">
        <v>90</v>
      </c>
    </row>
    <row r="66" spans="2:29" ht="12" x14ac:dyDescent="0.2">
      <c r="B66" s="47" t="s">
        <v>73</v>
      </c>
      <c r="C66" s="195">
        <v>6</v>
      </c>
      <c r="D66" s="196">
        <f>C66/D$64</f>
        <v>0.66666666666666663</v>
      </c>
      <c r="E66" s="148">
        <v>6</v>
      </c>
      <c r="F66" s="202">
        <f t="shared" ref="F66:H73" si="9">E66/F$64</f>
        <v>0.66666666666666663</v>
      </c>
      <c r="G66" s="195">
        <v>5</v>
      </c>
      <c r="H66" s="386">
        <f t="shared" si="9"/>
        <v>0.55555555555555558</v>
      </c>
      <c r="I66" s="148">
        <v>5</v>
      </c>
      <c r="J66" s="202">
        <f t="shared" ref="J66:J73" si="10">I66/J$64</f>
        <v>0.7142857142857143</v>
      </c>
      <c r="K66" s="195">
        <v>4</v>
      </c>
      <c r="L66" s="202">
        <f t="shared" ref="L66:N73" si="11">K66/L$64</f>
        <v>0.44444444444444442</v>
      </c>
      <c r="M66" s="195">
        <f>2+4</f>
        <v>6</v>
      </c>
      <c r="N66" s="386">
        <f t="shared" si="11"/>
        <v>0.66666666666666663</v>
      </c>
      <c r="O66" s="148">
        <v>6</v>
      </c>
      <c r="P66" s="386">
        <f t="shared" ref="P66:R73" si="12">O66/P$64</f>
        <v>0.66666666666666663</v>
      </c>
      <c r="Q66" s="148">
        <v>7</v>
      </c>
      <c r="R66" s="386">
        <f t="shared" si="12"/>
        <v>0.7</v>
      </c>
      <c r="S66" s="148">
        <f>3+2</f>
        <v>5</v>
      </c>
      <c r="T66" s="386">
        <f t="shared" ref="T66:T73" si="13">S66/T$64</f>
        <v>0.55555555555555558</v>
      </c>
      <c r="U66" s="148">
        <v>4</v>
      </c>
      <c r="V66" s="386">
        <f t="shared" ref="V66:V73" si="14">U66/V$64</f>
        <v>0.44444444444444442</v>
      </c>
      <c r="W66" s="148">
        <v>6</v>
      </c>
      <c r="X66" s="386">
        <f t="shared" ref="X66:X73" si="15">W66/X$64</f>
        <v>0.54545454545454541</v>
      </c>
      <c r="Y66" s="148">
        <v>6</v>
      </c>
      <c r="Z66" s="386">
        <f t="shared" ref="Z66:Z73" si="16">Y66/Z$64</f>
        <v>0.54545454545454541</v>
      </c>
      <c r="AB66" s="666">
        <f t="shared" ref="AB66:AB73" si="17">AVERAGE(W66,U66,S66,Q66,Y66)</f>
        <v>5.6</v>
      </c>
      <c r="AC66" s="692">
        <f t="shared" ref="AC66:AC73" si="18">AVERAGE(X66,V66,T66,R66,Z66)</f>
        <v>0.55818181818181811</v>
      </c>
    </row>
    <row r="67" spans="2:29" ht="12" x14ac:dyDescent="0.2">
      <c r="B67" s="886" t="s">
        <v>74</v>
      </c>
      <c r="C67" s="195">
        <v>0</v>
      </c>
      <c r="D67" s="196">
        <f t="shared" ref="D67:D85" si="19">C67/$D$64</f>
        <v>0</v>
      </c>
      <c r="E67" s="148">
        <v>0</v>
      </c>
      <c r="F67" s="202">
        <f t="shared" si="9"/>
        <v>0</v>
      </c>
      <c r="G67" s="195">
        <v>0</v>
      </c>
      <c r="H67" s="386">
        <f t="shared" si="9"/>
        <v>0</v>
      </c>
      <c r="I67" s="148">
        <v>0</v>
      </c>
      <c r="J67" s="202">
        <f t="shared" si="10"/>
        <v>0</v>
      </c>
      <c r="K67" s="195">
        <v>0</v>
      </c>
      <c r="L67" s="202">
        <f t="shared" si="11"/>
        <v>0</v>
      </c>
      <c r="M67" s="195">
        <v>0</v>
      </c>
      <c r="N67" s="386">
        <f t="shared" si="11"/>
        <v>0</v>
      </c>
      <c r="O67" s="148">
        <v>0</v>
      </c>
      <c r="P67" s="386">
        <f t="shared" si="12"/>
        <v>0</v>
      </c>
      <c r="Q67" s="148">
        <v>0</v>
      </c>
      <c r="R67" s="386">
        <f t="shared" si="12"/>
        <v>0</v>
      </c>
      <c r="S67" s="148">
        <f>0</f>
        <v>0</v>
      </c>
      <c r="T67" s="386">
        <f t="shared" si="13"/>
        <v>0</v>
      </c>
      <c r="U67" s="148">
        <v>0</v>
      </c>
      <c r="V67" s="386">
        <f t="shared" si="14"/>
        <v>0</v>
      </c>
      <c r="W67" s="148">
        <v>0</v>
      </c>
      <c r="X67" s="386">
        <f t="shared" si="15"/>
        <v>0</v>
      </c>
      <c r="Y67" s="148">
        <v>0</v>
      </c>
      <c r="Z67" s="386">
        <f t="shared" si="16"/>
        <v>0</v>
      </c>
      <c r="AB67" s="666">
        <f t="shared" si="17"/>
        <v>0</v>
      </c>
      <c r="AC67" s="692">
        <f t="shared" si="18"/>
        <v>0</v>
      </c>
    </row>
    <row r="68" spans="2:29" ht="12" x14ac:dyDescent="0.2">
      <c r="B68" s="886" t="s">
        <v>75</v>
      </c>
      <c r="C68" s="195">
        <v>0</v>
      </c>
      <c r="D68" s="196">
        <f t="shared" si="19"/>
        <v>0</v>
      </c>
      <c r="E68" s="148">
        <v>0</v>
      </c>
      <c r="F68" s="202">
        <f t="shared" si="9"/>
        <v>0</v>
      </c>
      <c r="G68" s="195">
        <v>0</v>
      </c>
      <c r="H68" s="386">
        <f t="shared" si="9"/>
        <v>0</v>
      </c>
      <c r="I68" s="148">
        <v>0</v>
      </c>
      <c r="J68" s="202">
        <f t="shared" si="10"/>
        <v>0</v>
      </c>
      <c r="K68" s="195">
        <v>0</v>
      </c>
      <c r="L68" s="202">
        <f t="shared" si="11"/>
        <v>0</v>
      </c>
      <c r="M68" s="195">
        <v>0</v>
      </c>
      <c r="N68" s="386">
        <f t="shared" si="11"/>
        <v>0</v>
      </c>
      <c r="O68" s="148">
        <v>0</v>
      </c>
      <c r="P68" s="386">
        <f t="shared" si="12"/>
        <v>0</v>
      </c>
      <c r="Q68" s="148">
        <v>0</v>
      </c>
      <c r="R68" s="386">
        <f t="shared" si="12"/>
        <v>0</v>
      </c>
      <c r="S68" s="148">
        <f>0</f>
        <v>0</v>
      </c>
      <c r="T68" s="386">
        <f t="shared" si="13"/>
        <v>0</v>
      </c>
      <c r="U68" s="148">
        <v>0</v>
      </c>
      <c r="V68" s="386">
        <f t="shared" si="14"/>
        <v>0</v>
      </c>
      <c r="W68" s="148">
        <v>0</v>
      </c>
      <c r="X68" s="386">
        <f t="shared" si="15"/>
        <v>0</v>
      </c>
      <c r="Y68" s="148">
        <v>0</v>
      </c>
      <c r="Z68" s="386">
        <f t="shared" si="16"/>
        <v>0</v>
      </c>
      <c r="AA68" s="583"/>
      <c r="AB68" s="666">
        <f t="shared" si="17"/>
        <v>0</v>
      </c>
      <c r="AC68" s="692">
        <f t="shared" si="18"/>
        <v>0</v>
      </c>
    </row>
    <row r="69" spans="2:29" ht="12" x14ac:dyDescent="0.2">
      <c r="B69" s="886" t="s">
        <v>76</v>
      </c>
      <c r="C69" s="195">
        <v>0</v>
      </c>
      <c r="D69" s="196">
        <f t="shared" si="19"/>
        <v>0</v>
      </c>
      <c r="E69" s="148">
        <v>0</v>
      </c>
      <c r="F69" s="202">
        <f t="shared" si="9"/>
        <v>0</v>
      </c>
      <c r="G69" s="195">
        <v>0</v>
      </c>
      <c r="H69" s="386">
        <f t="shared" si="9"/>
        <v>0</v>
      </c>
      <c r="I69" s="148">
        <v>0</v>
      </c>
      <c r="J69" s="202">
        <f t="shared" si="10"/>
        <v>0</v>
      </c>
      <c r="K69" s="195">
        <v>0</v>
      </c>
      <c r="L69" s="202">
        <f t="shared" si="11"/>
        <v>0</v>
      </c>
      <c r="M69" s="195">
        <v>0</v>
      </c>
      <c r="N69" s="386">
        <f t="shared" si="11"/>
        <v>0</v>
      </c>
      <c r="O69" s="148">
        <v>0</v>
      </c>
      <c r="P69" s="386">
        <f t="shared" si="12"/>
        <v>0</v>
      </c>
      <c r="Q69" s="148">
        <v>0</v>
      </c>
      <c r="R69" s="386">
        <f t="shared" si="12"/>
        <v>0</v>
      </c>
      <c r="S69" s="148">
        <f>0</f>
        <v>0</v>
      </c>
      <c r="T69" s="386">
        <f t="shared" si="13"/>
        <v>0</v>
      </c>
      <c r="U69" s="148">
        <v>0</v>
      </c>
      <c r="V69" s="386">
        <f t="shared" si="14"/>
        <v>0</v>
      </c>
      <c r="W69" s="148">
        <v>0</v>
      </c>
      <c r="X69" s="386">
        <f t="shared" si="15"/>
        <v>0</v>
      </c>
      <c r="Y69" s="148">
        <v>0</v>
      </c>
      <c r="Z69" s="386">
        <f t="shared" si="16"/>
        <v>0</v>
      </c>
      <c r="AA69" s="583"/>
      <c r="AB69" s="666">
        <f t="shared" si="17"/>
        <v>0</v>
      </c>
      <c r="AC69" s="692">
        <f t="shared" si="18"/>
        <v>0</v>
      </c>
    </row>
    <row r="70" spans="2:29" ht="12" x14ac:dyDescent="0.2">
      <c r="B70" s="886" t="s">
        <v>77</v>
      </c>
      <c r="C70" s="195">
        <v>1</v>
      </c>
      <c r="D70" s="196">
        <f t="shared" si="19"/>
        <v>0.1111111111111111</v>
      </c>
      <c r="E70" s="148">
        <v>1</v>
      </c>
      <c r="F70" s="202">
        <f t="shared" si="9"/>
        <v>0.1111111111111111</v>
      </c>
      <c r="G70" s="195">
        <v>1</v>
      </c>
      <c r="H70" s="386">
        <f t="shared" si="9"/>
        <v>0.1111111111111111</v>
      </c>
      <c r="I70" s="148">
        <v>1</v>
      </c>
      <c r="J70" s="202">
        <f t="shared" si="10"/>
        <v>0.14285714285714285</v>
      </c>
      <c r="K70" s="195">
        <v>1</v>
      </c>
      <c r="L70" s="202">
        <f t="shared" si="11"/>
        <v>0.1111111111111111</v>
      </c>
      <c r="M70" s="195">
        <v>1</v>
      </c>
      <c r="N70" s="386">
        <f t="shared" si="11"/>
        <v>0.1111111111111111</v>
      </c>
      <c r="O70" s="148">
        <v>1</v>
      </c>
      <c r="P70" s="386">
        <f t="shared" si="12"/>
        <v>0.1111111111111111</v>
      </c>
      <c r="Q70" s="148">
        <v>3</v>
      </c>
      <c r="R70" s="386">
        <f t="shared" si="12"/>
        <v>0.3</v>
      </c>
      <c r="S70" s="148">
        <f>3</f>
        <v>3</v>
      </c>
      <c r="T70" s="386">
        <f t="shared" si="13"/>
        <v>0.33333333333333331</v>
      </c>
      <c r="U70" s="148">
        <v>4</v>
      </c>
      <c r="V70" s="386">
        <f t="shared" si="14"/>
        <v>0.44444444444444442</v>
      </c>
      <c r="W70" s="148">
        <v>3</v>
      </c>
      <c r="X70" s="386">
        <f t="shared" si="15"/>
        <v>0.27272727272727271</v>
      </c>
      <c r="Y70" s="148">
        <v>3</v>
      </c>
      <c r="Z70" s="386">
        <f t="shared" si="16"/>
        <v>0.27272727272727271</v>
      </c>
      <c r="AA70" s="583"/>
      <c r="AB70" s="666">
        <f t="shared" si="17"/>
        <v>3.2</v>
      </c>
      <c r="AC70" s="692">
        <f t="shared" si="18"/>
        <v>0.32464646464646463</v>
      </c>
    </row>
    <row r="71" spans="2:29" ht="12" x14ac:dyDescent="0.2">
      <c r="B71" s="886" t="s">
        <v>78</v>
      </c>
      <c r="C71" s="195">
        <v>2</v>
      </c>
      <c r="D71" s="196">
        <f t="shared" si="19"/>
        <v>0.22222222222222221</v>
      </c>
      <c r="E71" s="148">
        <v>2</v>
      </c>
      <c r="F71" s="202">
        <f t="shared" si="9"/>
        <v>0.22222222222222221</v>
      </c>
      <c r="G71" s="195">
        <v>3</v>
      </c>
      <c r="H71" s="386">
        <f t="shared" si="9"/>
        <v>0.33333333333333331</v>
      </c>
      <c r="I71" s="148">
        <v>1</v>
      </c>
      <c r="J71" s="202">
        <f t="shared" si="10"/>
        <v>0.14285714285714285</v>
      </c>
      <c r="K71" s="195">
        <v>4</v>
      </c>
      <c r="L71" s="202">
        <f t="shared" si="11"/>
        <v>0.44444444444444442</v>
      </c>
      <c r="M71" s="195">
        <v>2</v>
      </c>
      <c r="N71" s="386">
        <f t="shared" si="11"/>
        <v>0.22222222222222221</v>
      </c>
      <c r="O71" s="148">
        <v>2</v>
      </c>
      <c r="P71" s="386">
        <f t="shared" si="12"/>
        <v>0.22222222222222221</v>
      </c>
      <c r="Q71" s="148">
        <v>0</v>
      </c>
      <c r="R71" s="386">
        <f t="shared" si="12"/>
        <v>0</v>
      </c>
      <c r="S71" s="148">
        <f>1</f>
        <v>1</v>
      </c>
      <c r="T71" s="386">
        <f t="shared" si="13"/>
        <v>0.1111111111111111</v>
      </c>
      <c r="U71" s="148">
        <v>1</v>
      </c>
      <c r="V71" s="386">
        <f t="shared" si="14"/>
        <v>0.1111111111111111</v>
      </c>
      <c r="W71" s="148">
        <v>2</v>
      </c>
      <c r="X71" s="386">
        <f t="shared" si="15"/>
        <v>0.18181818181818182</v>
      </c>
      <c r="Y71" s="148">
        <v>2</v>
      </c>
      <c r="Z71" s="386">
        <f t="shared" si="16"/>
        <v>0.18181818181818182</v>
      </c>
      <c r="AA71" s="583"/>
      <c r="AB71" s="666">
        <f t="shared" si="17"/>
        <v>1.2</v>
      </c>
      <c r="AC71" s="692">
        <f t="shared" si="18"/>
        <v>0.11717171717171718</v>
      </c>
    </row>
    <row r="72" spans="2:29" ht="12" x14ac:dyDescent="0.2">
      <c r="B72" s="886" t="s">
        <v>172</v>
      </c>
      <c r="C72" s="197"/>
      <c r="D72" s="196"/>
      <c r="E72" s="146"/>
      <c r="F72" s="202"/>
      <c r="G72" s="974"/>
      <c r="H72" s="975"/>
      <c r="I72" s="976"/>
      <c r="J72" s="977"/>
      <c r="K72" s="974"/>
      <c r="L72" s="977"/>
      <c r="M72" s="974"/>
      <c r="N72" s="975"/>
      <c r="O72" s="976"/>
      <c r="P72" s="975"/>
      <c r="Q72" s="146">
        <v>0</v>
      </c>
      <c r="R72" s="386">
        <f t="shared" si="12"/>
        <v>0</v>
      </c>
      <c r="S72" s="146">
        <f>0</f>
        <v>0</v>
      </c>
      <c r="T72" s="386">
        <f t="shared" si="13"/>
        <v>0</v>
      </c>
      <c r="U72" s="146">
        <v>0</v>
      </c>
      <c r="V72" s="386">
        <f t="shared" si="14"/>
        <v>0</v>
      </c>
      <c r="W72" s="146">
        <v>0</v>
      </c>
      <c r="X72" s="386">
        <f t="shared" si="15"/>
        <v>0</v>
      </c>
      <c r="Y72" s="146">
        <v>0</v>
      </c>
      <c r="Z72" s="386">
        <f t="shared" si="16"/>
        <v>0</v>
      </c>
      <c r="AA72" s="583"/>
      <c r="AB72" s="666">
        <f t="shared" si="17"/>
        <v>0</v>
      </c>
      <c r="AC72" s="692">
        <f t="shared" si="18"/>
        <v>0</v>
      </c>
    </row>
    <row r="73" spans="2:29" ht="12" x14ac:dyDescent="0.2">
      <c r="B73" s="886" t="s">
        <v>79</v>
      </c>
      <c r="C73" s="197">
        <v>0</v>
      </c>
      <c r="D73" s="196">
        <f t="shared" si="19"/>
        <v>0</v>
      </c>
      <c r="E73" s="146">
        <v>0</v>
      </c>
      <c r="F73" s="202">
        <f t="shared" si="9"/>
        <v>0</v>
      </c>
      <c r="G73" s="197">
        <v>0</v>
      </c>
      <c r="H73" s="386">
        <f t="shared" si="9"/>
        <v>0</v>
      </c>
      <c r="I73" s="146">
        <v>0</v>
      </c>
      <c r="J73" s="202">
        <f t="shared" si="10"/>
        <v>0</v>
      </c>
      <c r="K73" s="197">
        <v>0</v>
      </c>
      <c r="L73" s="202">
        <f t="shared" si="11"/>
        <v>0</v>
      </c>
      <c r="M73" s="197">
        <v>0</v>
      </c>
      <c r="N73" s="386">
        <f t="shared" si="11"/>
        <v>0</v>
      </c>
      <c r="O73" s="146">
        <v>0</v>
      </c>
      <c r="P73" s="386">
        <f t="shared" si="12"/>
        <v>0</v>
      </c>
      <c r="Q73" s="146">
        <v>0</v>
      </c>
      <c r="R73" s="386">
        <f t="shared" si="12"/>
        <v>0</v>
      </c>
      <c r="S73" s="146">
        <f>0</f>
        <v>0</v>
      </c>
      <c r="T73" s="386">
        <f t="shared" si="13"/>
        <v>0</v>
      </c>
      <c r="U73" s="146">
        <v>0</v>
      </c>
      <c r="V73" s="386">
        <f t="shared" si="14"/>
        <v>0</v>
      </c>
      <c r="W73" s="146">
        <v>0</v>
      </c>
      <c r="X73" s="386">
        <f t="shared" si="15"/>
        <v>0</v>
      </c>
      <c r="Y73" s="146">
        <v>0</v>
      </c>
      <c r="Z73" s="386">
        <f t="shared" si="16"/>
        <v>0</v>
      </c>
      <c r="AA73" s="583"/>
      <c r="AB73" s="666">
        <f t="shared" si="17"/>
        <v>0</v>
      </c>
      <c r="AC73" s="692">
        <f t="shared" si="18"/>
        <v>0</v>
      </c>
    </row>
    <row r="74" spans="2:29" ht="12" x14ac:dyDescent="0.2">
      <c r="B74" s="887" t="s">
        <v>93</v>
      </c>
      <c r="C74" s="198"/>
      <c r="D74" s="196"/>
      <c r="E74" s="206"/>
      <c r="F74" s="306"/>
      <c r="G74" s="311"/>
      <c r="H74" s="387"/>
      <c r="I74" s="206"/>
      <c r="J74" s="306"/>
      <c r="K74" s="311"/>
      <c r="L74" s="306"/>
      <c r="M74" s="311"/>
      <c r="N74" s="387"/>
      <c r="O74" s="206"/>
      <c r="P74" s="387"/>
      <c r="Q74" s="206"/>
      <c r="R74" s="387"/>
      <c r="S74" s="206"/>
      <c r="T74" s="387"/>
      <c r="U74" s="206"/>
      <c r="V74" s="387"/>
      <c r="W74" s="206"/>
      <c r="X74" s="387"/>
      <c r="Y74" s="206"/>
      <c r="Z74" s="387"/>
      <c r="AA74" s="583"/>
      <c r="AB74" s="666"/>
      <c r="AC74" s="692"/>
    </row>
    <row r="75" spans="2:29" ht="12" x14ac:dyDescent="0.2">
      <c r="B75" s="47" t="s">
        <v>80</v>
      </c>
      <c r="C75" s="209">
        <v>8</v>
      </c>
      <c r="D75" s="196">
        <f t="shared" si="19"/>
        <v>0.88888888888888884</v>
      </c>
      <c r="E75" s="117">
        <v>8</v>
      </c>
      <c r="F75" s="234">
        <f>E75/F$64</f>
        <v>0.88888888888888884</v>
      </c>
      <c r="G75" s="209">
        <v>8</v>
      </c>
      <c r="H75" s="388">
        <f>G75/H$64</f>
        <v>0.88888888888888884</v>
      </c>
      <c r="I75" s="259">
        <v>7</v>
      </c>
      <c r="J75" s="234">
        <f>I75/J$64</f>
        <v>1</v>
      </c>
      <c r="K75" s="209">
        <v>8</v>
      </c>
      <c r="L75" s="234">
        <f>K75/L$64</f>
        <v>0.88888888888888884</v>
      </c>
      <c r="M75" s="209">
        <f>2+6</f>
        <v>8</v>
      </c>
      <c r="N75" s="388">
        <f>M75/N$64</f>
        <v>0.88888888888888884</v>
      </c>
      <c r="O75" s="259">
        <v>8</v>
      </c>
      <c r="P75" s="388">
        <f>O75/P$64</f>
        <v>0.88888888888888884</v>
      </c>
      <c r="Q75" s="259">
        <v>9</v>
      </c>
      <c r="R75" s="386">
        <f>Q75/R$64</f>
        <v>0.9</v>
      </c>
      <c r="S75" s="259">
        <f>6+2</f>
        <v>8</v>
      </c>
      <c r="T75" s="386">
        <f>S75/T$64</f>
        <v>0.88888888888888884</v>
      </c>
      <c r="U75" s="259">
        <v>7</v>
      </c>
      <c r="V75" s="386">
        <f>U75/V$64</f>
        <v>0.77777777777777779</v>
      </c>
      <c r="W75" s="259">
        <v>10</v>
      </c>
      <c r="X75" s="386">
        <f>W75/X$64</f>
        <v>0.90909090909090906</v>
      </c>
      <c r="Y75" s="259">
        <v>10</v>
      </c>
      <c r="Z75" s="386">
        <f>Y75/Z$64</f>
        <v>0.90909090909090906</v>
      </c>
      <c r="AA75" s="583"/>
      <c r="AB75" s="666">
        <f t="shared" ref="AB75:AB76" si="20">AVERAGE(W75,U75,S75,Q75,Y75)</f>
        <v>8.8000000000000007</v>
      </c>
      <c r="AC75" s="692">
        <f t="shared" ref="AC75:AC76" si="21">AVERAGE(X75,V75,T75,R75,Z75)</f>
        <v>0.87696969696969695</v>
      </c>
    </row>
    <row r="76" spans="2:29" ht="12" x14ac:dyDescent="0.2">
      <c r="B76" s="47" t="s">
        <v>81</v>
      </c>
      <c r="C76" s="209">
        <v>1</v>
      </c>
      <c r="D76" s="196">
        <f t="shared" si="19"/>
        <v>0.1111111111111111</v>
      </c>
      <c r="E76" s="204">
        <v>1</v>
      </c>
      <c r="F76" s="234">
        <f>E76/F$64</f>
        <v>0.1111111111111111</v>
      </c>
      <c r="G76" s="340">
        <v>1</v>
      </c>
      <c r="H76" s="388">
        <f>G76/H$64</f>
        <v>0.1111111111111111</v>
      </c>
      <c r="I76" s="380">
        <v>0</v>
      </c>
      <c r="J76" s="234">
        <f>I76/J$64</f>
        <v>0</v>
      </c>
      <c r="K76" s="340">
        <v>1</v>
      </c>
      <c r="L76" s="234">
        <f>K76/L$64</f>
        <v>0.1111111111111111</v>
      </c>
      <c r="M76" s="340">
        <v>1</v>
      </c>
      <c r="N76" s="388">
        <f>M76/N$64</f>
        <v>0.1111111111111111</v>
      </c>
      <c r="O76" s="380">
        <v>1</v>
      </c>
      <c r="P76" s="388">
        <f>O76/P$64</f>
        <v>0.1111111111111111</v>
      </c>
      <c r="Q76" s="380">
        <v>1</v>
      </c>
      <c r="R76" s="386">
        <f>Q76/R$64</f>
        <v>0.1</v>
      </c>
      <c r="S76" s="380">
        <f>1</f>
        <v>1</v>
      </c>
      <c r="T76" s="386">
        <f>S76/T$64</f>
        <v>0.1111111111111111</v>
      </c>
      <c r="U76" s="380">
        <v>2</v>
      </c>
      <c r="V76" s="386">
        <f>U76/V$64</f>
        <v>0.22222222222222221</v>
      </c>
      <c r="W76" s="380">
        <v>1</v>
      </c>
      <c r="X76" s="386">
        <f>W76/X$64</f>
        <v>9.0909090909090912E-2</v>
      </c>
      <c r="Y76" s="380">
        <v>1</v>
      </c>
      <c r="Z76" s="386">
        <f>Y76/Z$64</f>
        <v>9.0909090909090912E-2</v>
      </c>
      <c r="AA76" s="583"/>
      <c r="AB76" s="666">
        <f t="shared" si="20"/>
        <v>1.2</v>
      </c>
      <c r="AC76" s="692">
        <f t="shared" si="21"/>
        <v>0.12303030303030305</v>
      </c>
    </row>
    <row r="77" spans="2:29" ht="12" x14ac:dyDescent="0.2">
      <c r="B77" s="887" t="s">
        <v>94</v>
      </c>
      <c r="C77" s="199"/>
      <c r="D77" s="196"/>
      <c r="E77" s="207"/>
      <c r="F77" s="234"/>
      <c r="G77" s="298"/>
      <c r="H77" s="388"/>
      <c r="I77" s="381"/>
      <c r="J77" s="234"/>
      <c r="K77" s="298"/>
      <c r="L77" s="234"/>
      <c r="M77" s="298"/>
      <c r="N77" s="388"/>
      <c r="O77" s="381"/>
      <c r="P77" s="388"/>
      <c r="Q77" s="381"/>
      <c r="R77" s="386"/>
      <c r="S77" s="381"/>
      <c r="T77" s="386"/>
      <c r="U77" s="381"/>
      <c r="V77" s="386"/>
      <c r="W77" s="381"/>
      <c r="X77" s="386"/>
      <c r="Y77" s="381"/>
      <c r="Z77" s="386"/>
      <c r="AA77" s="583"/>
      <c r="AB77" s="666"/>
      <c r="AC77" s="692"/>
    </row>
    <row r="78" spans="2:29" ht="12" x14ac:dyDescent="0.2">
      <c r="B78" s="47" t="s">
        <v>82</v>
      </c>
      <c r="C78" s="205">
        <v>3</v>
      </c>
      <c r="D78" s="196">
        <f t="shared" si="19"/>
        <v>0.33333333333333331</v>
      </c>
      <c r="E78" s="204">
        <v>4</v>
      </c>
      <c r="F78" s="234">
        <f>E78/F$64</f>
        <v>0.44444444444444442</v>
      </c>
      <c r="G78" s="340">
        <v>3</v>
      </c>
      <c r="H78" s="388">
        <f>G78/H$64</f>
        <v>0.33333333333333331</v>
      </c>
      <c r="I78" s="380">
        <v>3</v>
      </c>
      <c r="J78" s="234">
        <f>I78/J$64</f>
        <v>0.42857142857142855</v>
      </c>
      <c r="K78" s="340">
        <v>3</v>
      </c>
      <c r="L78" s="234">
        <f>K78/L$64</f>
        <v>0.33333333333333331</v>
      </c>
      <c r="M78" s="340">
        <f>1+3</f>
        <v>4</v>
      </c>
      <c r="N78" s="388">
        <f>M78/N$64</f>
        <v>0.44444444444444442</v>
      </c>
      <c r="O78" s="380">
        <v>4</v>
      </c>
      <c r="P78" s="388">
        <f>O78/P$64</f>
        <v>0.44444444444444442</v>
      </c>
      <c r="Q78" s="380">
        <v>4</v>
      </c>
      <c r="R78" s="386">
        <f>Q78/R$64</f>
        <v>0.4</v>
      </c>
      <c r="S78" s="380">
        <f>2+1</f>
        <v>3</v>
      </c>
      <c r="T78" s="386">
        <f>S78/T$64</f>
        <v>0.33333333333333331</v>
      </c>
      <c r="U78" s="380">
        <v>3</v>
      </c>
      <c r="V78" s="386">
        <f>U78/V$64</f>
        <v>0.33333333333333331</v>
      </c>
      <c r="W78" s="380">
        <v>3</v>
      </c>
      <c r="X78" s="386">
        <f>W78/X$64</f>
        <v>0.27272727272727271</v>
      </c>
      <c r="Y78" s="380">
        <v>2</v>
      </c>
      <c r="Z78" s="386">
        <f>Y78/Z$64</f>
        <v>0.18181818181818182</v>
      </c>
      <c r="AA78" s="583"/>
      <c r="AB78" s="666">
        <f t="shared" ref="AB78:AB80" si="22">AVERAGE(W78,U78,S78,Q78,Y78)</f>
        <v>3</v>
      </c>
      <c r="AC78" s="692">
        <f t="shared" ref="AC78:AC80" si="23">AVERAGE(X78,V78,T78,R78,Z78)</f>
        <v>0.30424242424242426</v>
      </c>
    </row>
    <row r="79" spans="2:29" ht="12" x14ac:dyDescent="0.2">
      <c r="B79" s="47" t="s">
        <v>83</v>
      </c>
      <c r="C79" s="205">
        <v>4</v>
      </c>
      <c r="D79" s="196">
        <f t="shared" si="19"/>
        <v>0.44444444444444442</v>
      </c>
      <c r="E79" s="204">
        <v>3</v>
      </c>
      <c r="F79" s="234">
        <f>E79/F$64</f>
        <v>0.33333333333333331</v>
      </c>
      <c r="G79" s="340">
        <v>4</v>
      </c>
      <c r="H79" s="388">
        <f>G79/H$64</f>
        <v>0.44444444444444442</v>
      </c>
      <c r="I79" s="380">
        <v>2</v>
      </c>
      <c r="J79" s="234">
        <f>I79/J$64</f>
        <v>0.2857142857142857</v>
      </c>
      <c r="K79" s="340">
        <v>3</v>
      </c>
      <c r="L79" s="234">
        <f>K79/L$64</f>
        <v>0.33333333333333331</v>
      </c>
      <c r="M79" s="340">
        <v>3</v>
      </c>
      <c r="N79" s="388">
        <f>M79/N$64</f>
        <v>0.33333333333333331</v>
      </c>
      <c r="O79" s="380">
        <v>3</v>
      </c>
      <c r="P79" s="388">
        <f>O79/P$64</f>
        <v>0.33333333333333331</v>
      </c>
      <c r="Q79" s="380">
        <v>2</v>
      </c>
      <c r="R79" s="386">
        <f>Q79/R$64</f>
        <v>0.2</v>
      </c>
      <c r="S79" s="380">
        <f>3</f>
        <v>3</v>
      </c>
      <c r="T79" s="386">
        <f>S79/T$64</f>
        <v>0.33333333333333331</v>
      </c>
      <c r="U79" s="380">
        <v>3</v>
      </c>
      <c r="V79" s="386">
        <f>U79/V$64</f>
        <v>0.33333333333333331</v>
      </c>
      <c r="W79" s="380">
        <v>5</v>
      </c>
      <c r="X79" s="386">
        <f>W79/X$64</f>
        <v>0.45454545454545453</v>
      </c>
      <c r="Y79" s="380">
        <v>5</v>
      </c>
      <c r="Z79" s="386">
        <f>Y79/Z$64</f>
        <v>0.45454545454545453</v>
      </c>
      <c r="AA79" s="583"/>
      <c r="AB79" s="666">
        <f t="shared" si="22"/>
        <v>3.6</v>
      </c>
      <c r="AC79" s="692">
        <f t="shared" si="23"/>
        <v>0.35515151515151511</v>
      </c>
    </row>
    <row r="80" spans="2:29" ht="12" x14ac:dyDescent="0.2">
      <c r="B80" s="47" t="s">
        <v>84</v>
      </c>
      <c r="C80" s="205">
        <v>2</v>
      </c>
      <c r="D80" s="196">
        <f t="shared" si="19"/>
        <v>0.22222222222222221</v>
      </c>
      <c r="E80" s="204">
        <v>2</v>
      </c>
      <c r="F80" s="234">
        <f>E80/F$64</f>
        <v>0.22222222222222221</v>
      </c>
      <c r="G80" s="340">
        <v>2</v>
      </c>
      <c r="H80" s="388">
        <f>G80/H$64</f>
        <v>0.22222222222222221</v>
      </c>
      <c r="I80" s="380">
        <v>2</v>
      </c>
      <c r="J80" s="234">
        <f>I80/J$64</f>
        <v>0.2857142857142857</v>
      </c>
      <c r="K80" s="340">
        <v>3</v>
      </c>
      <c r="L80" s="234">
        <f>K80/L$64</f>
        <v>0.33333333333333331</v>
      </c>
      <c r="M80" s="340">
        <f>1+1</f>
        <v>2</v>
      </c>
      <c r="N80" s="388">
        <f>M80/N$64</f>
        <v>0.22222222222222221</v>
      </c>
      <c r="O80" s="380">
        <v>2</v>
      </c>
      <c r="P80" s="388">
        <f>O80/P$64</f>
        <v>0.22222222222222221</v>
      </c>
      <c r="Q80" s="380">
        <v>4</v>
      </c>
      <c r="R80" s="386">
        <f>Q80/R$64</f>
        <v>0.4</v>
      </c>
      <c r="S80" s="380">
        <f>2+1</f>
        <v>3</v>
      </c>
      <c r="T80" s="386">
        <f>S80/T$64</f>
        <v>0.33333333333333331</v>
      </c>
      <c r="U80" s="380">
        <v>3</v>
      </c>
      <c r="V80" s="386">
        <f>U80/V$64</f>
        <v>0.33333333333333331</v>
      </c>
      <c r="W80" s="380">
        <v>3</v>
      </c>
      <c r="X80" s="386">
        <f>W80/X$64</f>
        <v>0.27272727272727271</v>
      </c>
      <c r="Y80" s="380">
        <v>4</v>
      </c>
      <c r="Z80" s="386">
        <f>Y80/Z$64</f>
        <v>0.36363636363636365</v>
      </c>
      <c r="AA80" s="583"/>
      <c r="AB80" s="666">
        <f t="shared" si="22"/>
        <v>3.4</v>
      </c>
      <c r="AC80" s="692">
        <f t="shared" si="23"/>
        <v>0.34060606060606063</v>
      </c>
    </row>
    <row r="81" spans="1:32" ht="12" x14ac:dyDescent="0.2">
      <c r="B81" s="887" t="s">
        <v>95</v>
      </c>
      <c r="C81" s="199"/>
      <c r="D81" s="196"/>
      <c r="E81" s="207"/>
      <c r="F81" s="234"/>
      <c r="G81" s="298"/>
      <c r="H81" s="388"/>
      <c r="I81" s="381"/>
      <c r="J81" s="234"/>
      <c r="K81" s="298"/>
      <c r="L81" s="234"/>
      <c r="M81" s="298"/>
      <c r="N81" s="388"/>
      <c r="O81" s="381"/>
      <c r="P81" s="388"/>
      <c r="Q81" s="381"/>
      <c r="R81" s="386"/>
      <c r="S81" s="381"/>
      <c r="T81" s="386"/>
      <c r="U81" s="381"/>
      <c r="V81" s="386"/>
      <c r="W81" s="381"/>
      <c r="X81" s="386"/>
      <c r="Y81" s="381"/>
      <c r="Z81" s="386"/>
      <c r="AA81" s="583"/>
      <c r="AB81" s="666"/>
      <c r="AC81" s="692"/>
    </row>
    <row r="82" spans="1:32" ht="12" x14ac:dyDescent="0.2">
      <c r="B82" s="47" t="s">
        <v>85</v>
      </c>
      <c r="C82" s="205">
        <v>7</v>
      </c>
      <c r="D82" s="196">
        <f t="shared" si="19"/>
        <v>0.77777777777777779</v>
      </c>
      <c r="E82" s="204">
        <v>7</v>
      </c>
      <c r="F82" s="234">
        <f>E82/F$64</f>
        <v>0.77777777777777779</v>
      </c>
      <c r="G82" s="340">
        <v>7</v>
      </c>
      <c r="H82" s="388">
        <f>G82/H$64</f>
        <v>0.77777777777777779</v>
      </c>
      <c r="I82" s="380">
        <v>5</v>
      </c>
      <c r="J82" s="234">
        <f>I82/J$64</f>
        <v>0.7142857142857143</v>
      </c>
      <c r="K82" s="340">
        <v>7</v>
      </c>
      <c r="L82" s="234">
        <f>K82/L$64</f>
        <v>0.77777777777777779</v>
      </c>
      <c r="M82" s="340">
        <f>1+6</f>
        <v>7</v>
      </c>
      <c r="N82" s="388">
        <f>M82/N$64</f>
        <v>0.77777777777777779</v>
      </c>
      <c r="O82" s="380">
        <v>7</v>
      </c>
      <c r="P82" s="388">
        <f>O82/P$64</f>
        <v>0.77777777777777779</v>
      </c>
      <c r="Q82" s="380">
        <v>8</v>
      </c>
      <c r="R82" s="386">
        <f>Q82/R$64</f>
        <v>0.8</v>
      </c>
      <c r="S82" s="380">
        <f>6+1</f>
        <v>7</v>
      </c>
      <c r="T82" s="386">
        <f>S82/T$64</f>
        <v>0.77777777777777779</v>
      </c>
      <c r="U82" s="380">
        <v>7</v>
      </c>
      <c r="V82" s="386">
        <f>U82/V$64</f>
        <v>0.77777777777777779</v>
      </c>
      <c r="W82" s="380">
        <v>8</v>
      </c>
      <c r="X82" s="386">
        <f>W82/X$64</f>
        <v>0.72727272727272729</v>
      </c>
      <c r="Y82" s="380">
        <v>7</v>
      </c>
      <c r="Z82" s="386">
        <f>Y82/Z$64</f>
        <v>0.63636363636363635</v>
      </c>
      <c r="AA82" s="583"/>
      <c r="AB82" s="666">
        <f t="shared" ref="AB82:AB85" si="24">AVERAGE(W82,U82,S82,Q82,Y82)</f>
        <v>7.4</v>
      </c>
      <c r="AC82" s="692">
        <f t="shared" ref="AC82:AC85" si="25">AVERAGE(X82,V82,T82,R82,Z82)</f>
        <v>0.74383838383838374</v>
      </c>
    </row>
    <row r="83" spans="1:32" ht="12" x14ac:dyDescent="0.2">
      <c r="B83" s="47" t="s">
        <v>86</v>
      </c>
      <c r="C83" s="205">
        <v>1</v>
      </c>
      <c r="D83" s="196">
        <f t="shared" si="19"/>
        <v>0.1111111111111111</v>
      </c>
      <c r="E83" s="204">
        <v>1</v>
      </c>
      <c r="F83" s="234">
        <f>E83/F$64</f>
        <v>0.1111111111111111</v>
      </c>
      <c r="G83" s="340">
        <v>1</v>
      </c>
      <c r="H83" s="388">
        <f>G83/H$64</f>
        <v>0.1111111111111111</v>
      </c>
      <c r="I83" s="380">
        <v>1</v>
      </c>
      <c r="J83" s="234">
        <f>I83/J$64</f>
        <v>0.14285714285714285</v>
      </c>
      <c r="K83" s="340">
        <v>1</v>
      </c>
      <c r="L83" s="234">
        <f>K83/L$64</f>
        <v>0.1111111111111111</v>
      </c>
      <c r="M83" s="340">
        <v>1</v>
      </c>
      <c r="N83" s="388">
        <f>M83/N$64</f>
        <v>0.1111111111111111</v>
      </c>
      <c r="O83" s="380">
        <v>1</v>
      </c>
      <c r="P83" s="388">
        <f>O83/P$64</f>
        <v>0.1111111111111111</v>
      </c>
      <c r="Q83" s="380">
        <v>1</v>
      </c>
      <c r="R83" s="386">
        <f>Q83/R$64</f>
        <v>0.1</v>
      </c>
      <c r="S83" s="380">
        <f>1</f>
        <v>1</v>
      </c>
      <c r="T83" s="386">
        <f>S83/T$64</f>
        <v>0.1111111111111111</v>
      </c>
      <c r="U83" s="380">
        <v>1</v>
      </c>
      <c r="V83" s="386">
        <f>U83/V$64</f>
        <v>0.1111111111111111</v>
      </c>
      <c r="W83" s="380">
        <v>2</v>
      </c>
      <c r="X83" s="386">
        <f>W83/X$64</f>
        <v>0.18181818181818182</v>
      </c>
      <c r="Y83" s="380">
        <v>2</v>
      </c>
      <c r="Z83" s="386">
        <f>Y83/Z$64</f>
        <v>0.18181818181818182</v>
      </c>
      <c r="AA83" s="583"/>
      <c r="AB83" s="666">
        <f t="shared" si="24"/>
        <v>1.4</v>
      </c>
      <c r="AC83" s="692">
        <f t="shared" si="25"/>
        <v>0.13717171717171719</v>
      </c>
    </row>
    <row r="84" spans="1:32" ht="12" x14ac:dyDescent="0.2">
      <c r="B84" s="47" t="s">
        <v>87</v>
      </c>
      <c r="C84" s="205">
        <v>1</v>
      </c>
      <c r="D84" s="196">
        <f t="shared" si="19"/>
        <v>0.1111111111111111</v>
      </c>
      <c r="E84" s="204">
        <v>1</v>
      </c>
      <c r="F84" s="234">
        <f>E84/F$64</f>
        <v>0.1111111111111111</v>
      </c>
      <c r="G84" s="340">
        <v>1</v>
      </c>
      <c r="H84" s="388">
        <f>G84/H$64</f>
        <v>0.1111111111111111</v>
      </c>
      <c r="I84" s="380">
        <v>1</v>
      </c>
      <c r="J84" s="234">
        <f>I84/J$64</f>
        <v>0.14285714285714285</v>
      </c>
      <c r="K84" s="340">
        <v>1</v>
      </c>
      <c r="L84" s="234">
        <f>K84/L$64</f>
        <v>0.1111111111111111</v>
      </c>
      <c r="M84" s="340">
        <v>1</v>
      </c>
      <c r="N84" s="388">
        <f>M84/N$64</f>
        <v>0.1111111111111111</v>
      </c>
      <c r="O84" s="380">
        <v>1</v>
      </c>
      <c r="P84" s="388">
        <f>O84/P$64</f>
        <v>0.1111111111111111</v>
      </c>
      <c r="Q84" s="380">
        <v>1</v>
      </c>
      <c r="R84" s="386">
        <f>Q84/R$64</f>
        <v>0.1</v>
      </c>
      <c r="S84" s="380">
        <f>1</f>
        <v>1</v>
      </c>
      <c r="T84" s="386">
        <f>S84/T$64</f>
        <v>0.1111111111111111</v>
      </c>
      <c r="U84" s="380">
        <v>1</v>
      </c>
      <c r="V84" s="386">
        <f>U84/V$64</f>
        <v>0.1111111111111111</v>
      </c>
      <c r="W84" s="380">
        <v>1</v>
      </c>
      <c r="X84" s="386">
        <f>W84/X$64</f>
        <v>9.0909090909090912E-2</v>
      </c>
      <c r="Y84" s="380">
        <v>2</v>
      </c>
      <c r="Z84" s="386">
        <f>Y84/Z$64</f>
        <v>0.18181818181818182</v>
      </c>
      <c r="AA84" s="583"/>
      <c r="AB84" s="666">
        <f t="shared" si="24"/>
        <v>1.2</v>
      </c>
      <c r="AC84" s="692">
        <f t="shared" si="25"/>
        <v>0.11898989898989898</v>
      </c>
    </row>
    <row r="85" spans="1:32" thickBot="1" x14ac:dyDescent="0.25">
      <c r="B85" s="616" t="s">
        <v>88</v>
      </c>
      <c r="C85" s="200">
        <v>0</v>
      </c>
      <c r="D85" s="201">
        <f t="shared" si="19"/>
        <v>0</v>
      </c>
      <c r="E85" s="208">
        <v>0</v>
      </c>
      <c r="F85" s="295">
        <f>E85/F$64</f>
        <v>0</v>
      </c>
      <c r="G85" s="341">
        <v>0</v>
      </c>
      <c r="H85" s="389">
        <f>G85/H$64</f>
        <v>0</v>
      </c>
      <c r="I85" s="382">
        <v>0</v>
      </c>
      <c r="J85" s="295">
        <f>I85/J$64</f>
        <v>0</v>
      </c>
      <c r="K85" s="341">
        <v>0</v>
      </c>
      <c r="L85" s="295">
        <f>K85/L$64</f>
        <v>0</v>
      </c>
      <c r="M85" s="341">
        <v>0</v>
      </c>
      <c r="N85" s="389">
        <f>M85/N$64</f>
        <v>0</v>
      </c>
      <c r="O85" s="382">
        <v>0</v>
      </c>
      <c r="P85" s="389">
        <f>O85/P$64</f>
        <v>0</v>
      </c>
      <c r="Q85" s="382">
        <v>0</v>
      </c>
      <c r="R85" s="409">
        <f>Q85/R$64</f>
        <v>0</v>
      </c>
      <c r="S85" s="382">
        <f>0</f>
        <v>0</v>
      </c>
      <c r="T85" s="409">
        <f>S85/T$64</f>
        <v>0</v>
      </c>
      <c r="U85" s="382">
        <v>0</v>
      </c>
      <c r="V85" s="409">
        <f>U85/V$64</f>
        <v>0</v>
      </c>
      <c r="W85" s="382">
        <v>0</v>
      </c>
      <c r="X85" s="409">
        <f>W85/X$64</f>
        <v>0</v>
      </c>
      <c r="Y85" s="382">
        <v>0</v>
      </c>
      <c r="Z85" s="409">
        <f>Y85/Z$64</f>
        <v>0</v>
      </c>
      <c r="AA85" s="583"/>
      <c r="AB85" s="667">
        <f t="shared" si="24"/>
        <v>0</v>
      </c>
      <c r="AC85" s="693">
        <f t="shared" si="25"/>
        <v>0</v>
      </c>
    </row>
    <row r="86" spans="1:32" thickTop="1" x14ac:dyDescent="0.2">
      <c r="A86" s="583"/>
      <c r="B86" s="613" t="s">
        <v>115</v>
      </c>
      <c r="C86" s="119"/>
      <c r="D86" s="619"/>
      <c r="E86" s="582"/>
      <c r="F86" s="617"/>
      <c r="G86" s="582"/>
      <c r="H86" s="617"/>
      <c r="I86" s="582"/>
      <c r="J86" s="617"/>
      <c r="K86" s="582"/>
      <c r="L86" s="617"/>
      <c r="M86" s="611"/>
      <c r="N86" s="825"/>
      <c r="O86" s="611"/>
      <c r="P86" s="825"/>
      <c r="Q86" s="611"/>
      <c r="R86" s="981"/>
      <c r="S86" s="611"/>
      <c r="T86" s="981"/>
      <c r="U86" s="611"/>
      <c r="V86" s="981"/>
      <c r="W86" s="611"/>
      <c r="X86" s="981"/>
      <c r="Y86" s="611"/>
      <c r="Z86" s="981"/>
      <c r="AA86" s="583"/>
      <c r="AC86" s="583"/>
    </row>
    <row r="87" spans="1:32" ht="12" x14ac:dyDescent="0.2">
      <c r="A87" s="583"/>
      <c r="B87" s="614"/>
      <c r="C87" s="120" t="s">
        <v>89</v>
      </c>
      <c r="D87" s="618" t="s">
        <v>16</v>
      </c>
      <c r="E87" s="120" t="s">
        <v>89</v>
      </c>
      <c r="F87" s="618" t="s">
        <v>16</v>
      </c>
      <c r="G87" s="120" t="s">
        <v>89</v>
      </c>
      <c r="H87" s="618" t="s">
        <v>16</v>
      </c>
      <c r="I87" s="120" t="s">
        <v>89</v>
      </c>
      <c r="J87" s="618" t="s">
        <v>16</v>
      </c>
      <c r="K87" s="120" t="s">
        <v>89</v>
      </c>
      <c r="L87" s="618" t="s">
        <v>16</v>
      </c>
      <c r="M87" s="120" t="s">
        <v>89</v>
      </c>
      <c r="N87" s="618" t="s">
        <v>16</v>
      </c>
      <c r="O87" s="120" t="s">
        <v>89</v>
      </c>
      <c r="P87" s="618" t="s">
        <v>16</v>
      </c>
      <c r="Q87" s="272" t="s">
        <v>89</v>
      </c>
      <c r="R87" s="618" t="s">
        <v>16</v>
      </c>
      <c r="S87" s="272" t="s">
        <v>89</v>
      </c>
      <c r="T87" s="618" t="s">
        <v>16</v>
      </c>
      <c r="U87" s="272" t="s">
        <v>89</v>
      </c>
      <c r="V87" s="618" t="s">
        <v>16</v>
      </c>
      <c r="W87" s="272" t="s">
        <v>89</v>
      </c>
      <c r="X87" s="618" t="s">
        <v>16</v>
      </c>
      <c r="Y87" s="272" t="s">
        <v>89</v>
      </c>
      <c r="Z87" s="618" t="s">
        <v>16</v>
      </c>
      <c r="AA87" s="583"/>
      <c r="AB87" s="120" t="s">
        <v>89</v>
      </c>
      <c r="AC87" s="587" t="s">
        <v>16</v>
      </c>
    </row>
    <row r="88" spans="1:32" ht="12" x14ac:dyDescent="0.2">
      <c r="A88" s="583"/>
      <c r="B88" s="615" t="s">
        <v>116</v>
      </c>
      <c r="C88" s="120">
        <v>2</v>
      </c>
      <c r="D88" s="784">
        <v>0.6</v>
      </c>
      <c r="E88" s="272">
        <v>3</v>
      </c>
      <c r="F88" s="620">
        <v>0.8</v>
      </c>
      <c r="G88" s="272">
        <v>3</v>
      </c>
      <c r="H88" s="620">
        <v>0.6</v>
      </c>
      <c r="I88" s="272">
        <v>3</v>
      </c>
      <c r="J88" s="620">
        <v>0.9</v>
      </c>
      <c r="K88" s="120">
        <v>3</v>
      </c>
      <c r="L88" s="764">
        <v>0.9</v>
      </c>
      <c r="M88" s="766">
        <v>3</v>
      </c>
      <c r="N88" s="995">
        <v>0.8</v>
      </c>
      <c r="O88" s="766">
        <v>3</v>
      </c>
      <c r="P88" s="995">
        <v>1</v>
      </c>
      <c r="Q88" s="766">
        <v>3</v>
      </c>
      <c r="R88" s="993">
        <v>0.7</v>
      </c>
      <c r="S88" s="766">
        <v>3</v>
      </c>
      <c r="T88" s="993">
        <v>1.1000000000000001</v>
      </c>
      <c r="U88" s="766">
        <v>3</v>
      </c>
      <c r="V88" s="993">
        <v>0.9</v>
      </c>
      <c r="W88" s="766">
        <v>2</v>
      </c>
      <c r="X88" s="993">
        <v>0.7</v>
      </c>
      <c r="Y88" s="766">
        <v>2</v>
      </c>
      <c r="Z88" s="993">
        <v>0.7</v>
      </c>
      <c r="AA88" s="785"/>
      <c r="AB88" s="786">
        <f t="shared" ref="AB88:AB90" si="26">AVERAGE(W88,U88,S88,Q88,Y88)</f>
        <v>2.6</v>
      </c>
      <c r="AC88" s="978">
        <f t="shared" ref="AC88:AC90" si="27">AVERAGE(X88,V88,T88,R88,Z88)</f>
        <v>0.82000000000000006</v>
      </c>
    </row>
    <row r="89" spans="1:32" ht="12" x14ac:dyDescent="0.2">
      <c r="A89" s="583"/>
      <c r="B89" s="615" t="s">
        <v>117</v>
      </c>
      <c r="C89" s="120">
        <v>2</v>
      </c>
      <c r="D89" s="784">
        <v>0.4</v>
      </c>
      <c r="E89" s="272">
        <v>3</v>
      </c>
      <c r="F89" s="620">
        <v>0.6</v>
      </c>
      <c r="G89" s="272">
        <v>3</v>
      </c>
      <c r="H89" s="620">
        <v>0.6</v>
      </c>
      <c r="I89" s="272">
        <v>3</v>
      </c>
      <c r="J89" s="620">
        <v>0.6</v>
      </c>
      <c r="K89" s="120">
        <v>3</v>
      </c>
      <c r="L89" s="764">
        <v>0.6</v>
      </c>
      <c r="M89" s="766">
        <v>3</v>
      </c>
      <c r="N89" s="995">
        <v>0.6</v>
      </c>
      <c r="O89" s="766">
        <v>1</v>
      </c>
      <c r="P89" s="995">
        <v>0.5</v>
      </c>
      <c r="Q89" s="766">
        <v>0</v>
      </c>
      <c r="R89" s="993">
        <v>0</v>
      </c>
      <c r="S89" s="766">
        <v>2</v>
      </c>
      <c r="T89" s="993">
        <v>0.4</v>
      </c>
      <c r="U89" s="766">
        <v>3</v>
      </c>
      <c r="V89" s="993">
        <v>0.6</v>
      </c>
      <c r="W89" s="766">
        <v>1</v>
      </c>
      <c r="X89" s="993">
        <v>0.3</v>
      </c>
      <c r="Y89" s="766">
        <v>1</v>
      </c>
      <c r="Z89" s="993">
        <v>0.3</v>
      </c>
      <c r="AA89" s="785"/>
      <c r="AB89" s="786">
        <f t="shared" si="26"/>
        <v>1.4</v>
      </c>
      <c r="AC89" s="978">
        <f t="shared" si="27"/>
        <v>0.31999999999999995</v>
      </c>
    </row>
    <row r="90" spans="1:32" thickBot="1" x14ac:dyDescent="0.25">
      <c r="A90" s="583"/>
      <c r="B90" s="616" t="s">
        <v>147</v>
      </c>
      <c r="C90" s="584">
        <v>0</v>
      </c>
      <c r="D90" s="788">
        <v>0</v>
      </c>
      <c r="E90" s="789">
        <v>0</v>
      </c>
      <c r="F90" s="621">
        <v>0</v>
      </c>
      <c r="G90" s="789">
        <v>0</v>
      </c>
      <c r="H90" s="621">
        <v>0</v>
      </c>
      <c r="I90" s="789">
        <v>0</v>
      </c>
      <c r="J90" s="621">
        <v>0</v>
      </c>
      <c r="K90" s="584">
        <v>0</v>
      </c>
      <c r="L90" s="765">
        <v>0</v>
      </c>
      <c r="M90" s="768">
        <v>0</v>
      </c>
      <c r="N90" s="996">
        <v>0</v>
      </c>
      <c r="O90" s="768">
        <v>0</v>
      </c>
      <c r="P90" s="996">
        <v>0</v>
      </c>
      <c r="Q90" s="768">
        <v>0</v>
      </c>
      <c r="R90" s="994">
        <v>0</v>
      </c>
      <c r="S90" s="768">
        <v>0</v>
      </c>
      <c r="T90" s="994">
        <v>0</v>
      </c>
      <c r="U90" s="768">
        <v>0</v>
      </c>
      <c r="V90" s="994">
        <v>0</v>
      </c>
      <c r="W90" s="768">
        <v>0</v>
      </c>
      <c r="X90" s="994">
        <v>0</v>
      </c>
      <c r="Y90" s="768">
        <v>0</v>
      </c>
      <c r="Z90" s="994">
        <v>0</v>
      </c>
      <c r="AA90" s="785"/>
      <c r="AB90" s="790">
        <f t="shared" si="26"/>
        <v>0</v>
      </c>
      <c r="AC90" s="979">
        <f t="shared" si="27"/>
        <v>0</v>
      </c>
      <c r="AF90" s="59"/>
    </row>
    <row r="91" spans="1:32" ht="14.25" customHeight="1" thickTop="1" thickBot="1" x14ac:dyDescent="0.3">
      <c r="A91" s="626"/>
      <c r="B91" s="628"/>
      <c r="C91" s="1141" t="s">
        <v>41</v>
      </c>
      <c r="D91" s="1142"/>
      <c r="E91" s="1141" t="s">
        <v>42</v>
      </c>
      <c r="F91" s="1142"/>
      <c r="G91" s="1145" t="s">
        <v>132</v>
      </c>
      <c r="H91" s="1146"/>
      <c r="I91" s="1145" t="s">
        <v>133</v>
      </c>
      <c r="J91" s="1146"/>
      <c r="K91" s="1145" t="s">
        <v>134</v>
      </c>
      <c r="L91" s="1146"/>
      <c r="M91" s="1149" t="s">
        <v>135</v>
      </c>
      <c r="N91" s="1136"/>
      <c r="O91" s="1135" t="s">
        <v>171</v>
      </c>
      <c r="P91" s="1136"/>
      <c r="Q91" s="1135" t="s">
        <v>170</v>
      </c>
      <c r="R91" s="1136"/>
      <c r="S91" s="1135" t="s">
        <v>177</v>
      </c>
      <c r="T91" s="1136"/>
      <c r="U91" s="1135" t="s">
        <v>180</v>
      </c>
      <c r="V91" s="1136"/>
      <c r="W91" s="1135" t="s">
        <v>184</v>
      </c>
      <c r="X91" s="1136"/>
      <c r="Y91" s="1135" t="s">
        <v>188</v>
      </c>
      <c r="Z91" s="1136"/>
      <c r="AA91" s="964"/>
      <c r="AB91" s="103"/>
      <c r="AC91" s="605"/>
    </row>
    <row r="92" spans="1:32" x14ac:dyDescent="0.2">
      <c r="B92" s="627" t="s">
        <v>143</v>
      </c>
      <c r="C92" s="1"/>
      <c r="D92" s="639"/>
      <c r="E92" s="660"/>
      <c r="F92" s="688"/>
      <c r="G92" s="661"/>
      <c r="H92" s="662"/>
      <c r="I92" s="631"/>
      <c r="J92" s="632"/>
      <c r="K92" s="630"/>
      <c r="L92" s="659"/>
      <c r="M92" s="630"/>
      <c r="N92" s="657"/>
      <c r="O92" s="947"/>
      <c r="P92" s="948"/>
      <c r="Q92" s="1044"/>
      <c r="R92" s="1045"/>
      <c r="S92" s="1044"/>
      <c r="T92" s="1045"/>
      <c r="U92" s="245"/>
      <c r="V92" s="918"/>
      <c r="W92" s="1044"/>
      <c r="X92" s="1045"/>
      <c r="Y92" s="1044"/>
      <c r="Z92" s="1045"/>
      <c r="AA92" s="59"/>
      <c r="AB92" s="59"/>
      <c r="AC92" s="59"/>
    </row>
    <row r="93" spans="1:32" ht="12" x14ac:dyDescent="0.2">
      <c r="A93" s="583"/>
      <c r="B93" s="888" t="s">
        <v>122</v>
      </c>
      <c r="C93" s="1202">
        <v>3.15</v>
      </c>
      <c r="D93" s="1203"/>
      <c r="E93" s="629"/>
      <c r="F93" s="689"/>
      <c r="G93" s="630"/>
      <c r="H93" s="657"/>
      <c r="I93" s="1137">
        <v>2.4500000000000002</v>
      </c>
      <c r="J93" s="1138"/>
      <c r="K93" s="638"/>
      <c r="L93" s="690"/>
      <c r="M93" s="638"/>
      <c r="N93" s="657"/>
      <c r="O93" s="952"/>
      <c r="P93" s="953">
        <v>7.3</v>
      </c>
      <c r="Q93" s="1046"/>
      <c r="R93" s="1045"/>
      <c r="S93" s="1046"/>
      <c r="T93" s="1045"/>
      <c r="U93" s="253"/>
      <c r="V93" s="953">
        <v>6.3</v>
      </c>
      <c r="W93" s="1046"/>
      <c r="X93" s="1045"/>
      <c r="Y93" s="1046"/>
      <c r="Z93" s="1045"/>
      <c r="AA93" s="59"/>
      <c r="AB93" s="59"/>
      <c r="AC93" s="949"/>
    </row>
    <row r="94" spans="1:32" ht="12" customHeight="1" x14ac:dyDescent="0.2">
      <c r="A94" s="583"/>
      <c r="B94" s="889" t="s">
        <v>123</v>
      </c>
      <c r="C94" s="1202">
        <v>0</v>
      </c>
      <c r="D94" s="1203"/>
      <c r="E94" s="629"/>
      <c r="F94" s="689"/>
      <c r="G94" s="630"/>
      <c r="H94" s="657"/>
      <c r="I94" s="1137">
        <v>0</v>
      </c>
      <c r="J94" s="1138"/>
      <c r="K94" s="638"/>
      <c r="L94" s="690"/>
      <c r="M94" s="638"/>
      <c r="N94" s="657"/>
      <c r="O94" s="952"/>
      <c r="P94" s="953"/>
      <c r="Q94" s="1046"/>
      <c r="R94" s="1045"/>
      <c r="S94" s="1046"/>
      <c r="T94" s="1045"/>
      <c r="U94" s="253"/>
      <c r="V94" s="953"/>
      <c r="W94" s="1046"/>
      <c r="X94" s="1045"/>
      <c r="Y94" s="1046"/>
      <c r="Z94" s="1045"/>
      <c r="AA94" s="59"/>
      <c r="AB94" s="59"/>
      <c r="AC94" s="949"/>
    </row>
    <row r="95" spans="1:32" ht="12" customHeight="1" x14ac:dyDescent="0.2">
      <c r="A95" s="583"/>
      <c r="B95" s="889" t="s">
        <v>124</v>
      </c>
      <c r="C95" s="1202"/>
      <c r="D95" s="1203"/>
      <c r="E95" s="629"/>
      <c r="F95" s="689"/>
      <c r="G95" s="630"/>
      <c r="H95" s="657"/>
      <c r="I95" s="1137"/>
      <c r="J95" s="1138"/>
      <c r="K95" s="638"/>
      <c r="L95" s="690"/>
      <c r="M95" s="638"/>
      <c r="N95" s="657"/>
      <c r="O95" s="952"/>
      <c r="P95" s="953">
        <v>0</v>
      </c>
      <c r="Q95" s="1046"/>
      <c r="R95" s="1045"/>
      <c r="S95" s="1046"/>
      <c r="T95" s="1045"/>
      <c r="U95" s="253"/>
      <c r="V95" s="953">
        <v>0</v>
      </c>
      <c r="W95" s="1046"/>
      <c r="X95" s="1045"/>
      <c r="Y95" s="1046"/>
      <c r="Z95" s="1045"/>
      <c r="AA95" s="59"/>
      <c r="AB95" s="59"/>
      <c r="AC95" s="949"/>
    </row>
    <row r="96" spans="1:32" ht="12" x14ac:dyDescent="0.2">
      <c r="A96" s="583"/>
      <c r="B96" s="888" t="s">
        <v>125</v>
      </c>
      <c r="C96" s="1202">
        <v>0.4</v>
      </c>
      <c r="D96" s="1203"/>
      <c r="E96" s="629"/>
      <c r="F96" s="689"/>
      <c r="G96" s="630"/>
      <c r="H96" s="657"/>
      <c r="I96" s="1137">
        <v>0.6</v>
      </c>
      <c r="J96" s="1138"/>
      <c r="K96" s="638"/>
      <c r="L96" s="690"/>
      <c r="M96" s="638"/>
      <c r="N96" s="657"/>
      <c r="O96" s="952"/>
      <c r="P96" s="953">
        <v>0.5</v>
      </c>
      <c r="Q96" s="1046"/>
      <c r="R96" s="1045"/>
      <c r="S96" s="1046"/>
      <c r="T96" s="1045"/>
      <c r="U96" s="253"/>
      <c r="V96" s="953">
        <v>0.6</v>
      </c>
      <c r="W96" s="1046"/>
      <c r="X96" s="1045"/>
      <c r="Y96" s="1046"/>
      <c r="Z96" s="1045"/>
      <c r="AA96" s="59"/>
      <c r="AB96" s="59"/>
      <c r="AC96" s="949"/>
    </row>
    <row r="97" spans="1:29" ht="12" x14ac:dyDescent="0.2">
      <c r="A97" s="583"/>
      <c r="B97" s="890" t="s">
        <v>126</v>
      </c>
      <c r="C97" s="1202">
        <v>1.05</v>
      </c>
      <c r="D97" s="1203"/>
      <c r="E97" s="629"/>
      <c r="F97" s="689"/>
      <c r="G97" s="630"/>
      <c r="H97" s="657"/>
      <c r="I97" s="1137">
        <v>0.95</v>
      </c>
      <c r="J97" s="1138"/>
      <c r="K97" s="638"/>
      <c r="L97" s="690"/>
      <c r="M97" s="638"/>
      <c r="N97" s="657"/>
      <c r="O97" s="952"/>
      <c r="P97" s="953">
        <v>1.2</v>
      </c>
      <c r="Q97" s="1046"/>
      <c r="R97" s="1045"/>
      <c r="S97" s="1046"/>
      <c r="T97" s="1045"/>
      <c r="U97" s="253"/>
      <c r="V97" s="953">
        <f>1+1.2</f>
        <v>2.2000000000000002</v>
      </c>
      <c r="W97" s="1046"/>
      <c r="X97" s="1045"/>
      <c r="Y97" s="1046"/>
      <c r="Z97" s="1045"/>
      <c r="AA97" s="59"/>
      <c r="AB97" s="59"/>
      <c r="AC97" s="949"/>
    </row>
    <row r="98" spans="1:29" ht="12" x14ac:dyDescent="0.2">
      <c r="A98" s="583"/>
      <c r="B98" s="890" t="s">
        <v>127</v>
      </c>
      <c r="C98" s="1202">
        <f>SUM(C93:D97)</f>
        <v>4.5999999999999996</v>
      </c>
      <c r="D98" s="1203"/>
      <c r="E98" s="629"/>
      <c r="F98" s="689"/>
      <c r="G98" s="630"/>
      <c r="H98" s="657"/>
      <c r="I98" s="1137">
        <f>SUM(I93:J97)</f>
        <v>4</v>
      </c>
      <c r="J98" s="1138"/>
      <c r="K98" s="638"/>
      <c r="L98" s="690"/>
      <c r="M98" s="638"/>
      <c r="N98" s="657"/>
      <c r="O98" s="952"/>
      <c r="P98" s="953">
        <f>SUM(P93:P97)</f>
        <v>9</v>
      </c>
      <c r="Q98" s="1046"/>
      <c r="R98" s="1045"/>
      <c r="S98" s="1046"/>
      <c r="T98" s="1045"/>
      <c r="U98" s="253"/>
      <c r="V98" s="953">
        <f>SUM(V93:V97)</f>
        <v>9.1</v>
      </c>
      <c r="W98" s="1046"/>
      <c r="X98" s="1045"/>
      <c r="Y98" s="1046"/>
      <c r="Z98" s="1045"/>
      <c r="AA98" s="59"/>
      <c r="AB98" s="59"/>
      <c r="AC98" s="949"/>
    </row>
    <row r="99" spans="1:29" thickBot="1" x14ac:dyDescent="0.25">
      <c r="A99" s="583"/>
      <c r="B99" s="891" t="s">
        <v>137</v>
      </c>
      <c r="C99" s="1202"/>
      <c r="D99" s="1203"/>
      <c r="E99" s="629"/>
      <c r="F99" s="689"/>
      <c r="G99" s="630"/>
      <c r="H99" s="657"/>
      <c r="I99" s="1137"/>
      <c r="J99" s="1138"/>
      <c r="K99" s="638"/>
      <c r="L99" s="690"/>
      <c r="M99" s="638"/>
      <c r="N99" s="657"/>
      <c r="O99" s="952"/>
      <c r="P99" s="918"/>
      <c r="Q99" s="1046"/>
      <c r="R99" s="1045"/>
      <c r="S99" s="1046"/>
      <c r="T99" s="1045"/>
      <c r="U99" s="253"/>
      <c r="V99" s="918"/>
      <c r="W99" s="1046"/>
      <c r="X99" s="1045"/>
      <c r="Y99" s="1046"/>
      <c r="Z99" s="1045"/>
      <c r="AA99" s="59"/>
      <c r="AB99" s="59"/>
      <c r="AC99" s="949"/>
    </row>
    <row r="100" spans="1:29" ht="12" x14ac:dyDescent="0.2">
      <c r="A100" s="583"/>
      <c r="B100" s="888" t="s">
        <v>128</v>
      </c>
      <c r="C100" s="1212">
        <v>1659</v>
      </c>
      <c r="D100" s="1213"/>
      <c r="E100" s="629"/>
      <c r="F100" s="689"/>
      <c r="G100" s="630"/>
      <c r="H100" s="657"/>
      <c r="I100" s="1212">
        <v>1291</v>
      </c>
      <c r="J100" s="1213"/>
      <c r="K100" s="638"/>
      <c r="L100" s="690"/>
      <c r="M100" s="638"/>
      <c r="N100" s="657"/>
      <c r="O100" s="957"/>
      <c r="P100" s="958">
        <v>1350</v>
      </c>
      <c r="Q100" s="1046"/>
      <c r="R100" s="1045"/>
      <c r="S100" s="1046"/>
      <c r="T100" s="1045"/>
      <c r="U100" s="253"/>
      <c r="V100" s="958">
        <v>1429</v>
      </c>
      <c r="W100" s="1046"/>
      <c r="X100" s="1045"/>
      <c r="Y100" s="1046"/>
      <c r="Z100" s="1045"/>
      <c r="AA100" s="59"/>
      <c r="AB100" s="59"/>
      <c r="AC100" s="738"/>
    </row>
    <row r="101" spans="1:29" ht="12" x14ac:dyDescent="0.2">
      <c r="A101" s="583"/>
      <c r="B101" s="653" t="s">
        <v>129</v>
      </c>
      <c r="C101" s="1212">
        <v>0</v>
      </c>
      <c r="D101" s="1213"/>
      <c r="E101" s="629"/>
      <c r="F101" s="689"/>
      <c r="G101" s="630"/>
      <c r="H101" s="657"/>
      <c r="I101" s="1212">
        <v>0</v>
      </c>
      <c r="J101" s="1213"/>
      <c r="K101" s="638"/>
      <c r="L101" s="690"/>
      <c r="M101" s="638"/>
      <c r="N101" s="657"/>
      <c r="O101" s="957"/>
      <c r="P101" s="958">
        <v>0</v>
      </c>
      <c r="Q101" s="1046"/>
      <c r="R101" s="1045"/>
      <c r="S101" s="1046"/>
      <c r="T101" s="1045"/>
      <c r="U101" s="253"/>
      <c r="V101" s="958">
        <v>0</v>
      </c>
      <c r="W101" s="1046"/>
      <c r="X101" s="1045"/>
      <c r="Y101" s="1046"/>
      <c r="Z101" s="1045"/>
      <c r="AA101" s="59"/>
      <c r="AB101" s="59"/>
      <c r="AC101" s="738"/>
    </row>
    <row r="102" spans="1:29" ht="12" x14ac:dyDescent="0.2">
      <c r="A102" s="583"/>
      <c r="B102" s="653" t="s">
        <v>130</v>
      </c>
      <c r="C102" s="1212">
        <v>1266</v>
      </c>
      <c r="D102" s="1213"/>
      <c r="E102" s="629"/>
      <c r="F102" s="689"/>
      <c r="G102" s="630"/>
      <c r="H102" s="657"/>
      <c r="I102" s="1212">
        <v>1356</v>
      </c>
      <c r="J102" s="1213"/>
      <c r="K102" s="638"/>
      <c r="L102" s="690"/>
      <c r="M102" s="638"/>
      <c r="N102" s="657"/>
      <c r="O102" s="957"/>
      <c r="P102" s="958">
        <v>1149</v>
      </c>
      <c r="Q102" s="1046"/>
      <c r="R102" s="1045"/>
      <c r="S102" s="1046"/>
      <c r="T102" s="1045"/>
      <c r="U102" s="253"/>
      <c r="V102" s="958">
        <f>1104+456</f>
        <v>1560</v>
      </c>
      <c r="W102" s="1046"/>
      <c r="X102" s="1045"/>
      <c r="Y102" s="1046"/>
      <c r="Z102" s="1045"/>
      <c r="AA102" s="59"/>
      <c r="AB102" s="59"/>
      <c r="AC102" s="738"/>
    </row>
    <row r="103" spans="1:29" ht="12" x14ac:dyDescent="0.2">
      <c r="A103" s="583"/>
      <c r="B103" s="653" t="s">
        <v>142</v>
      </c>
      <c r="C103" s="1212">
        <f>SUM(C100:D102)</f>
        <v>2925</v>
      </c>
      <c r="D103" s="1213"/>
      <c r="E103" s="629"/>
      <c r="F103" s="689"/>
      <c r="G103" s="630"/>
      <c r="H103" s="657"/>
      <c r="I103" s="1212">
        <f>SUM(I100:J102)</f>
        <v>2647</v>
      </c>
      <c r="J103" s="1213"/>
      <c r="K103" s="638"/>
      <c r="L103" s="690"/>
      <c r="M103" s="638"/>
      <c r="N103" s="657"/>
      <c r="O103" s="957"/>
      <c r="P103" s="958">
        <f>SUM(P100:P102)</f>
        <v>2499</v>
      </c>
      <c r="Q103" s="1046"/>
      <c r="R103" s="1045"/>
      <c r="S103" s="1046"/>
      <c r="T103" s="1045"/>
      <c r="U103" s="253"/>
      <c r="V103" s="958">
        <f>SUM(V100:V102)</f>
        <v>2989</v>
      </c>
      <c r="W103" s="1046"/>
      <c r="X103" s="1045"/>
      <c r="Y103" s="1046"/>
      <c r="Z103" s="1045"/>
      <c r="AA103" s="59"/>
      <c r="AB103" s="59"/>
      <c r="AC103" s="738"/>
    </row>
    <row r="104" spans="1:29" thickBot="1" x14ac:dyDescent="0.25">
      <c r="A104" s="583"/>
      <c r="B104" s="654" t="s">
        <v>138</v>
      </c>
      <c r="C104" s="1137"/>
      <c r="D104" s="1138"/>
      <c r="E104" s="629"/>
      <c r="F104" s="689"/>
      <c r="G104" s="630"/>
      <c r="H104" s="657"/>
      <c r="I104" s="1137"/>
      <c r="J104" s="1138"/>
      <c r="K104" s="638"/>
      <c r="L104" s="690"/>
      <c r="M104" s="638"/>
      <c r="N104" s="657"/>
      <c r="O104" s="959"/>
      <c r="P104" s="953"/>
      <c r="Q104" s="1046"/>
      <c r="R104" s="1045"/>
      <c r="S104" s="1046"/>
      <c r="T104" s="1045"/>
      <c r="U104" s="253"/>
      <c r="V104" s="953"/>
      <c r="W104" s="1046"/>
      <c r="X104" s="1045"/>
      <c r="Y104" s="1046"/>
      <c r="Z104" s="1045"/>
      <c r="AA104" s="59"/>
      <c r="AB104" s="59"/>
      <c r="AC104" s="738"/>
    </row>
    <row r="105" spans="1:29" ht="12" x14ac:dyDescent="0.2">
      <c r="A105" s="583"/>
      <c r="B105" s="651" t="s">
        <v>139</v>
      </c>
      <c r="C105" s="1137">
        <f>C100/C93</f>
        <v>526.66666666666663</v>
      </c>
      <c r="D105" s="1138"/>
      <c r="E105" s="747"/>
      <c r="F105" s="748"/>
      <c r="G105" s="749"/>
      <c r="H105" s="750"/>
      <c r="I105" s="1139">
        <f>I100/I93</f>
        <v>526.9387755102041</v>
      </c>
      <c r="J105" s="1140"/>
      <c r="K105" s="638"/>
      <c r="L105" s="691"/>
      <c r="M105" s="638"/>
      <c r="N105" s="657"/>
      <c r="O105" s="959"/>
      <c r="P105" s="960">
        <f>P100/P93</f>
        <v>184.93150684931507</v>
      </c>
      <c r="Q105" s="1046"/>
      <c r="R105" s="1045"/>
      <c r="S105" s="1046"/>
      <c r="T105" s="1045"/>
      <c r="U105" s="253"/>
      <c r="V105" s="960">
        <f>V100/V93</f>
        <v>226.82539682539684</v>
      </c>
      <c r="W105" s="1046"/>
      <c r="X105" s="1045"/>
      <c r="Y105" s="1046"/>
      <c r="Z105" s="1045"/>
      <c r="AA105" s="59"/>
      <c r="AB105" s="59"/>
      <c r="AC105" s="738"/>
    </row>
    <row r="106" spans="1:29" ht="12" x14ac:dyDescent="0.2">
      <c r="A106" s="583"/>
      <c r="B106" s="653" t="s">
        <v>140</v>
      </c>
      <c r="C106" s="1137">
        <v>0</v>
      </c>
      <c r="D106" s="1138"/>
      <c r="E106" s="747"/>
      <c r="F106" s="748"/>
      <c r="G106" s="749"/>
      <c r="H106" s="750"/>
      <c r="I106" s="1139">
        <v>0</v>
      </c>
      <c r="J106" s="1140"/>
      <c r="K106" s="638"/>
      <c r="L106" s="691"/>
      <c r="M106" s="638"/>
      <c r="N106" s="657"/>
      <c r="O106" s="959"/>
      <c r="P106" s="960">
        <v>0</v>
      </c>
      <c r="Q106" s="1046"/>
      <c r="R106" s="1045"/>
      <c r="S106" s="1046"/>
      <c r="T106" s="1045"/>
      <c r="U106" s="253"/>
      <c r="V106" s="960">
        <f>V101/(V95+V96)</f>
        <v>0</v>
      </c>
      <c r="W106" s="1046"/>
      <c r="X106" s="1045"/>
      <c r="Y106" s="1046"/>
      <c r="Z106" s="1045"/>
      <c r="AA106" s="59"/>
      <c r="AB106" s="59"/>
      <c r="AC106" s="738"/>
    </row>
    <row r="107" spans="1:29" ht="12" x14ac:dyDescent="0.2">
      <c r="A107" s="583"/>
      <c r="B107" s="653" t="s">
        <v>141</v>
      </c>
      <c r="C107" s="1137">
        <f>C102/C97</f>
        <v>1205.7142857142856</v>
      </c>
      <c r="D107" s="1138"/>
      <c r="E107" s="747"/>
      <c r="F107" s="748"/>
      <c r="G107" s="749"/>
      <c r="H107" s="750"/>
      <c r="I107" s="1139">
        <f>I102/I97</f>
        <v>1427.3684210526317</v>
      </c>
      <c r="J107" s="1140"/>
      <c r="K107" s="638"/>
      <c r="L107" s="691"/>
      <c r="M107" s="638"/>
      <c r="N107" s="657"/>
      <c r="O107" s="959"/>
      <c r="P107" s="960">
        <f>P102/P97</f>
        <v>957.5</v>
      </c>
      <c r="Q107" s="1046"/>
      <c r="R107" s="1045"/>
      <c r="S107" s="1046"/>
      <c r="T107" s="1045"/>
      <c r="U107" s="253"/>
      <c r="V107" s="960">
        <f>V102/V97</f>
        <v>709.09090909090901</v>
      </c>
      <c r="W107" s="1046"/>
      <c r="X107" s="1045"/>
      <c r="Y107" s="1046"/>
      <c r="Z107" s="1045"/>
      <c r="AA107" s="59"/>
      <c r="AB107" s="59"/>
      <c r="AC107" s="738"/>
    </row>
    <row r="108" spans="1:29" thickBot="1" x14ac:dyDescent="0.25">
      <c r="A108" s="583"/>
      <c r="B108" s="656" t="s">
        <v>131</v>
      </c>
      <c r="C108" s="1143">
        <f>C103/C98</f>
        <v>635.86956521739137</v>
      </c>
      <c r="D108" s="1144"/>
      <c r="E108" s="751"/>
      <c r="F108" s="752"/>
      <c r="G108" s="753"/>
      <c r="H108" s="754"/>
      <c r="I108" s="1223">
        <f>I103/I98</f>
        <v>661.75</v>
      </c>
      <c r="J108" s="1224"/>
      <c r="K108" s="655"/>
      <c r="L108" s="658"/>
      <c r="M108" s="655"/>
      <c r="N108" s="658"/>
      <c r="O108" s="961"/>
      <c r="P108" s="962">
        <f>P103/P98</f>
        <v>277.66666666666669</v>
      </c>
      <c r="Q108" s="1047"/>
      <c r="R108" s="1048"/>
      <c r="S108" s="1047"/>
      <c r="T108" s="1048"/>
      <c r="U108" s="301"/>
      <c r="V108" s="962">
        <f>V103/V98</f>
        <v>328.46153846153845</v>
      </c>
      <c r="W108" s="1047"/>
      <c r="X108" s="1048"/>
      <c r="Y108" s="1047"/>
      <c r="Z108" s="1048"/>
      <c r="AA108" s="59"/>
      <c r="AB108" s="59"/>
      <c r="AC108" s="738"/>
    </row>
    <row r="109" spans="1:29" ht="12.75" hidden="1" customHeight="1" x14ac:dyDescent="0.2">
      <c r="A109" s="3" t="s">
        <v>63</v>
      </c>
      <c r="C109" s="1"/>
      <c r="D109" s="1"/>
      <c r="E109" s="1"/>
      <c r="F109" s="1"/>
      <c r="G109" s="245"/>
      <c r="H109" s="245"/>
      <c r="I109" s="245"/>
      <c r="J109" s="245"/>
      <c r="M109" s="563"/>
      <c r="N109" s="59"/>
      <c r="O109" s="563"/>
      <c r="P109" s="59"/>
      <c r="Q109" s="563"/>
      <c r="R109" s="826"/>
      <c r="S109" s="563"/>
      <c r="T109" s="826"/>
      <c r="U109" s="563"/>
      <c r="V109" s="826"/>
      <c r="W109" s="563"/>
      <c r="X109" s="826"/>
      <c r="Y109" s="563"/>
      <c r="Z109" s="826"/>
      <c r="AC109" s="59"/>
    </row>
    <row r="110" spans="1:29" ht="12.75" hidden="1" customHeight="1" x14ac:dyDescent="0.2">
      <c r="A110" s="3"/>
      <c r="C110" s="1"/>
      <c r="D110" s="1"/>
      <c r="E110" s="1"/>
      <c r="F110" s="1"/>
      <c r="G110" s="245"/>
      <c r="H110" s="245"/>
      <c r="I110" s="245"/>
      <c r="J110" s="245"/>
      <c r="M110" s="563"/>
      <c r="N110" s="59"/>
      <c r="O110" s="563"/>
      <c r="P110" s="59"/>
      <c r="Q110" s="563"/>
      <c r="R110" s="826"/>
      <c r="S110" s="563"/>
      <c r="T110" s="826"/>
      <c r="U110" s="563"/>
      <c r="V110" s="826"/>
      <c r="W110" s="563"/>
      <c r="X110" s="826"/>
      <c r="Y110" s="563"/>
      <c r="Z110" s="826"/>
    </row>
    <row r="111" spans="1:29" ht="13.5" hidden="1" customHeight="1" thickTop="1" x14ac:dyDescent="0.2">
      <c r="A111" s="1" t="s">
        <v>17</v>
      </c>
      <c r="B111" s="42" t="s">
        <v>26</v>
      </c>
      <c r="C111" s="1217" t="s">
        <v>41</v>
      </c>
      <c r="D111" s="1218"/>
      <c r="E111" s="1210" t="s">
        <v>42</v>
      </c>
      <c r="F111" s="1211"/>
      <c r="G111" s="1214" t="s">
        <v>42</v>
      </c>
      <c r="H111" s="1215"/>
      <c r="I111" s="1214" t="s">
        <v>42</v>
      </c>
      <c r="J111" s="1215"/>
      <c r="M111" s="563"/>
      <c r="N111" s="59"/>
      <c r="O111" s="563"/>
      <c r="P111" s="59"/>
      <c r="Q111" s="563"/>
      <c r="R111" s="826"/>
      <c r="S111" s="563"/>
      <c r="T111" s="826"/>
      <c r="U111" s="563"/>
      <c r="V111" s="826"/>
      <c r="W111" s="563"/>
      <c r="X111" s="826"/>
      <c r="Y111" s="563"/>
      <c r="Z111" s="826"/>
    </row>
    <row r="112" spans="1:29" ht="12.75" hidden="1" customHeight="1" thickBot="1" x14ac:dyDescent="0.25">
      <c r="B112" s="44"/>
      <c r="C112" s="67" t="s">
        <v>18</v>
      </c>
      <c r="D112" s="73" t="s">
        <v>19</v>
      </c>
      <c r="E112" s="71" t="s">
        <v>18</v>
      </c>
      <c r="F112" s="68" t="s">
        <v>19</v>
      </c>
      <c r="G112" s="261" t="s">
        <v>18</v>
      </c>
      <c r="H112" s="262" t="s">
        <v>19</v>
      </c>
      <c r="I112" s="261" t="s">
        <v>18</v>
      </c>
      <c r="J112" s="262" t="s">
        <v>19</v>
      </c>
      <c r="M112" s="563"/>
      <c r="N112" s="59"/>
      <c r="O112" s="563"/>
      <c r="P112" s="59"/>
      <c r="Q112" s="563"/>
      <c r="R112" s="826"/>
      <c r="S112" s="563"/>
      <c r="T112" s="826"/>
      <c r="U112" s="563"/>
      <c r="V112" s="826"/>
      <c r="W112" s="563"/>
      <c r="X112" s="826"/>
      <c r="Y112" s="563"/>
      <c r="Z112" s="826"/>
    </row>
    <row r="113" spans="2:29" ht="12" hidden="1" customHeight="1" x14ac:dyDescent="0.2">
      <c r="B113" s="45" t="s">
        <v>20</v>
      </c>
      <c r="C113" s="65"/>
      <c r="D113" s="74"/>
      <c r="E113" s="72"/>
      <c r="F113" s="66"/>
      <c r="G113" s="263"/>
      <c r="H113" s="264"/>
      <c r="I113" s="263"/>
      <c r="J113" s="264"/>
      <c r="M113" s="563"/>
      <c r="N113" s="59"/>
      <c r="O113" s="563"/>
      <c r="P113" s="59"/>
      <c r="Q113" s="563"/>
      <c r="R113" s="826"/>
      <c r="S113" s="563"/>
      <c r="T113" s="826"/>
      <c r="U113" s="563"/>
      <c r="V113" s="826"/>
      <c r="W113" s="563"/>
      <c r="X113" s="826"/>
      <c r="Y113" s="563"/>
      <c r="Z113" s="826"/>
    </row>
    <row r="114" spans="2:29" ht="12" hidden="1" customHeight="1" x14ac:dyDescent="0.2">
      <c r="B114" s="49" t="s">
        <v>21</v>
      </c>
      <c r="C114" s="64"/>
      <c r="D114" s="75"/>
      <c r="E114" s="79"/>
      <c r="F114" s="80"/>
      <c r="G114" s="268"/>
      <c r="H114" s="265"/>
      <c r="I114" s="268"/>
      <c r="J114" s="265"/>
      <c r="M114" s="563"/>
      <c r="N114" s="59"/>
      <c r="O114" s="563"/>
      <c r="P114" s="59"/>
      <c r="Q114" s="563"/>
      <c r="R114" s="826"/>
      <c r="S114" s="563"/>
      <c r="T114" s="826"/>
      <c r="U114" s="563"/>
      <c r="V114" s="826"/>
      <c r="W114" s="563"/>
      <c r="X114" s="826"/>
      <c r="Y114" s="563"/>
      <c r="Z114" s="826"/>
    </row>
    <row r="115" spans="2:29" ht="12" hidden="1" customHeight="1" x14ac:dyDescent="0.2">
      <c r="B115" s="49" t="s">
        <v>22</v>
      </c>
      <c r="C115" s="64"/>
      <c r="D115" s="75"/>
      <c r="E115" s="79"/>
      <c r="F115" s="80"/>
      <c r="G115" s="268"/>
      <c r="H115" s="265"/>
      <c r="I115" s="268"/>
      <c r="J115" s="265"/>
      <c r="M115" s="563"/>
      <c r="N115" s="59"/>
      <c r="O115" s="563"/>
      <c r="P115" s="59"/>
      <c r="Q115" s="563"/>
      <c r="R115" s="826"/>
      <c r="S115" s="563"/>
      <c r="T115" s="826"/>
      <c r="U115" s="563"/>
      <c r="V115" s="826"/>
      <c r="W115" s="563"/>
      <c r="X115" s="826"/>
      <c r="Y115" s="563"/>
      <c r="Z115" s="826"/>
    </row>
    <row r="116" spans="2:29" ht="12" hidden="1" customHeight="1" x14ac:dyDescent="0.2">
      <c r="B116" s="49" t="s">
        <v>33</v>
      </c>
      <c r="C116" s="64"/>
      <c r="D116" s="75"/>
      <c r="E116" s="79"/>
      <c r="F116" s="80"/>
      <c r="G116" s="268"/>
      <c r="H116" s="265"/>
      <c r="I116" s="268"/>
      <c r="J116" s="265"/>
      <c r="M116" s="563"/>
      <c r="N116" s="59"/>
      <c r="O116" s="563"/>
      <c r="P116" s="59"/>
      <c r="Q116" s="563"/>
      <c r="R116" s="826"/>
      <c r="S116" s="563"/>
      <c r="T116" s="826"/>
      <c r="U116" s="563"/>
      <c r="V116" s="826"/>
      <c r="W116" s="563"/>
      <c r="X116" s="826"/>
      <c r="Y116" s="563"/>
      <c r="Z116" s="826"/>
    </row>
    <row r="117" spans="2:29" ht="12" hidden="1" customHeight="1" x14ac:dyDescent="0.2">
      <c r="B117" s="51" t="s">
        <v>34</v>
      </c>
      <c r="C117" s="69"/>
      <c r="D117" s="76"/>
      <c r="E117" s="81"/>
      <c r="F117" s="82"/>
      <c r="G117" s="269"/>
      <c r="H117" s="266"/>
      <c r="I117" s="269"/>
      <c r="J117" s="266"/>
      <c r="R117" s="826"/>
      <c r="T117" s="826"/>
      <c r="V117" s="826"/>
      <c r="X117" s="826"/>
      <c r="Z117" s="826"/>
    </row>
    <row r="118" spans="2:29" ht="12" hidden="1" customHeight="1" x14ac:dyDescent="0.2">
      <c r="B118" s="52" t="s">
        <v>23</v>
      </c>
      <c r="C118" s="64"/>
      <c r="D118" s="75"/>
      <c r="E118" s="79"/>
      <c r="F118" s="80"/>
      <c r="G118" s="268"/>
      <c r="H118" s="265"/>
      <c r="I118" s="268"/>
      <c r="J118" s="265"/>
      <c r="R118" s="826"/>
      <c r="T118" s="826"/>
      <c r="V118" s="826"/>
      <c r="X118" s="826"/>
      <c r="Z118" s="826"/>
    </row>
    <row r="119" spans="2:29" ht="12" hidden="1" customHeight="1" x14ac:dyDescent="0.2">
      <c r="B119" s="49" t="s">
        <v>21</v>
      </c>
      <c r="C119" s="64"/>
      <c r="D119" s="75"/>
      <c r="E119" s="79"/>
      <c r="F119" s="80"/>
      <c r="G119" s="268"/>
      <c r="H119" s="265"/>
      <c r="I119" s="268"/>
      <c r="J119" s="265"/>
      <c r="M119" s="563"/>
      <c r="N119" s="59"/>
      <c r="O119" s="563"/>
      <c r="P119" s="59"/>
      <c r="Q119" s="563"/>
      <c r="R119" s="826"/>
      <c r="S119" s="563"/>
      <c r="T119" s="826"/>
      <c r="U119" s="563"/>
      <c r="V119" s="826"/>
      <c r="W119" s="563"/>
      <c r="X119" s="826"/>
      <c r="Y119" s="563"/>
      <c r="Z119" s="826"/>
    </row>
    <row r="120" spans="2:29" ht="12.75" hidden="1" customHeight="1" thickBot="1" x14ac:dyDescent="0.25">
      <c r="B120" s="50" t="s">
        <v>35</v>
      </c>
      <c r="C120" s="70"/>
      <c r="D120" s="77"/>
      <c r="E120" s="83"/>
      <c r="F120" s="84"/>
      <c r="G120" s="270"/>
      <c r="H120" s="267"/>
      <c r="I120" s="270"/>
      <c r="J120" s="267"/>
      <c r="M120" s="563"/>
      <c r="N120" s="59"/>
      <c r="O120" s="563"/>
      <c r="P120" s="59"/>
      <c r="Q120" s="563"/>
      <c r="R120" s="826"/>
      <c r="S120" s="563"/>
      <c r="T120" s="826"/>
      <c r="U120" s="563"/>
      <c r="V120" s="826"/>
      <c r="W120" s="563"/>
      <c r="X120" s="826"/>
      <c r="Y120" s="563"/>
      <c r="Z120" s="826"/>
    </row>
    <row r="121" spans="2:29" ht="13.5" hidden="1" customHeight="1" thickTop="1" x14ac:dyDescent="0.2">
      <c r="B121" s="581" t="s">
        <v>38</v>
      </c>
      <c r="R121" s="826"/>
      <c r="T121" s="826"/>
      <c r="V121" s="826"/>
      <c r="X121" s="826"/>
      <c r="Z121" s="826"/>
    </row>
    <row r="122" spans="2:29" ht="12" hidden="1" customHeight="1" x14ac:dyDescent="0.2">
      <c r="B122" s="1" t="s">
        <v>36</v>
      </c>
      <c r="C122" s="1"/>
      <c r="D122" s="1"/>
      <c r="E122" s="1"/>
      <c r="F122" s="1"/>
      <c r="G122" s="245"/>
      <c r="H122" s="245"/>
      <c r="I122" s="245"/>
      <c r="J122" s="245"/>
      <c r="R122" s="826"/>
      <c r="T122" s="826"/>
      <c r="V122" s="826"/>
      <c r="X122" s="826"/>
      <c r="Z122" s="826"/>
    </row>
    <row r="123" spans="2:29" ht="12" hidden="1" customHeight="1" x14ac:dyDescent="0.2">
      <c r="B123" s="1" t="s">
        <v>37</v>
      </c>
      <c r="C123" s="1"/>
      <c r="D123" s="1"/>
      <c r="E123" s="1"/>
      <c r="F123" s="1"/>
      <c r="G123" s="245"/>
      <c r="H123" s="245"/>
      <c r="I123" s="245"/>
      <c r="J123" s="245"/>
      <c r="R123" s="826"/>
      <c r="T123" s="826"/>
      <c r="V123" s="826"/>
      <c r="X123" s="826"/>
      <c r="Z123" s="826"/>
    </row>
    <row r="124" spans="2:29" thickTop="1" x14ac:dyDescent="0.2">
      <c r="B124" s="1" t="str">
        <f>'bus sum'!B117</f>
        <v>*Note: For the 2009 collection cycle and later, Instructional FTE was defined according to the national Delaware Study of Instructional Costs and Productivity</v>
      </c>
      <c r="C124" s="1"/>
      <c r="D124" s="1"/>
      <c r="E124" s="1"/>
      <c r="F124" s="1"/>
      <c r="G124" s="245"/>
      <c r="H124" s="245"/>
      <c r="I124" s="245"/>
      <c r="J124" s="245"/>
      <c r="AB124" s="59"/>
      <c r="AC124" s="59"/>
    </row>
    <row r="125" spans="2:29" ht="12" x14ac:dyDescent="0.2">
      <c r="C125" s="1"/>
      <c r="D125" s="1"/>
      <c r="E125" s="1"/>
      <c r="F125" s="1"/>
      <c r="G125" s="245"/>
      <c r="H125" s="245"/>
      <c r="I125" s="245"/>
      <c r="J125" s="245"/>
    </row>
    <row r="126" spans="2:29" ht="12" x14ac:dyDescent="0.2">
      <c r="C126" s="1"/>
      <c r="D126" s="1"/>
      <c r="E126" s="1" t="s">
        <v>26</v>
      </c>
      <c r="F126" s="1"/>
      <c r="G126" s="245"/>
      <c r="H126" s="245"/>
      <c r="I126" s="245"/>
      <c r="J126" s="245"/>
    </row>
    <row r="127" spans="2:29" ht="12" x14ac:dyDescent="0.2">
      <c r="C127" s="1"/>
      <c r="D127" s="1"/>
      <c r="E127" s="1"/>
      <c r="F127" s="1"/>
      <c r="G127" s="245"/>
      <c r="H127" s="245"/>
      <c r="I127" s="245"/>
      <c r="J127" s="245"/>
    </row>
    <row r="128" spans="2:29" ht="12" x14ac:dyDescent="0.2">
      <c r="C128" s="1"/>
      <c r="D128" s="1"/>
      <c r="E128" s="1"/>
      <c r="F128" s="1"/>
      <c r="G128" s="245"/>
      <c r="H128" s="245"/>
      <c r="I128" s="245"/>
      <c r="J128" s="245"/>
    </row>
    <row r="129" spans="3:28" ht="12" x14ac:dyDescent="0.2">
      <c r="C129" s="1"/>
      <c r="D129" s="1"/>
      <c r="E129" s="1"/>
      <c r="F129" s="1"/>
      <c r="G129" s="245"/>
      <c r="H129" s="245"/>
      <c r="I129" s="245"/>
      <c r="J129" s="245"/>
      <c r="AB129" s="59"/>
    </row>
    <row r="130" spans="3:28" ht="12" x14ac:dyDescent="0.2">
      <c r="C130" s="1"/>
      <c r="D130" s="1"/>
      <c r="E130" s="1"/>
      <c r="F130" s="1"/>
      <c r="G130" s="245"/>
      <c r="H130" s="245"/>
      <c r="I130" s="245"/>
      <c r="J130" s="245"/>
    </row>
    <row r="131" spans="3:28" ht="12" x14ac:dyDescent="0.2">
      <c r="C131" s="1"/>
      <c r="D131" s="1"/>
      <c r="E131" s="1"/>
      <c r="F131" s="1"/>
      <c r="G131" s="245"/>
      <c r="H131" s="245"/>
      <c r="I131" s="245"/>
      <c r="J131" s="245"/>
    </row>
    <row r="132" spans="3:28" ht="12" x14ac:dyDescent="0.2">
      <c r="C132" s="1"/>
      <c r="D132" s="1"/>
      <c r="E132" s="1"/>
      <c r="F132" s="1"/>
      <c r="G132" s="245"/>
      <c r="H132" s="245"/>
      <c r="I132" s="245"/>
      <c r="J132" s="245"/>
    </row>
    <row r="133" spans="3:28" ht="12" x14ac:dyDescent="0.2">
      <c r="C133" s="1"/>
      <c r="D133" s="1"/>
      <c r="E133" s="1"/>
      <c r="F133" s="1"/>
      <c r="G133" s="245"/>
      <c r="H133" s="245"/>
      <c r="I133" s="245"/>
      <c r="J133" s="245"/>
    </row>
    <row r="134" spans="3:28" ht="12" x14ac:dyDescent="0.2">
      <c r="C134" s="1"/>
      <c r="D134" s="1"/>
      <c r="E134" s="1"/>
      <c r="F134" s="1"/>
      <c r="G134" s="245"/>
      <c r="H134" s="245"/>
      <c r="I134" s="245"/>
      <c r="J134" s="245"/>
    </row>
    <row r="135" spans="3:28" ht="12" x14ac:dyDescent="0.2">
      <c r="C135" s="1"/>
      <c r="D135" s="1"/>
      <c r="E135" s="1"/>
      <c r="F135" s="1"/>
      <c r="G135" s="245"/>
      <c r="H135" s="245"/>
      <c r="I135" s="245"/>
      <c r="J135" s="245"/>
    </row>
    <row r="136" spans="3:28" ht="12" x14ac:dyDescent="0.2">
      <c r="C136" s="1"/>
      <c r="D136" s="1"/>
      <c r="E136" s="1"/>
      <c r="F136" s="1"/>
      <c r="G136" s="245"/>
      <c r="H136" s="245"/>
      <c r="I136" s="245"/>
      <c r="J136" s="245"/>
    </row>
    <row r="137" spans="3:28" ht="12" x14ac:dyDescent="0.2">
      <c r="C137" s="1"/>
      <c r="D137" s="1"/>
      <c r="E137" s="1"/>
      <c r="F137" s="1"/>
      <c r="G137" s="245"/>
      <c r="H137" s="245"/>
      <c r="I137" s="245"/>
      <c r="J137" s="245"/>
    </row>
    <row r="138" spans="3:28" ht="12" x14ac:dyDescent="0.2">
      <c r="C138" s="1"/>
      <c r="D138" s="1"/>
      <c r="E138" s="1"/>
      <c r="F138" s="1"/>
      <c r="G138" s="245"/>
      <c r="H138" s="245"/>
      <c r="I138" s="245"/>
      <c r="J138" s="245"/>
    </row>
    <row r="139" spans="3:28" ht="12" x14ac:dyDescent="0.2">
      <c r="C139" s="1"/>
      <c r="D139" s="1"/>
      <c r="E139" s="1"/>
      <c r="F139" s="1"/>
      <c r="G139" s="245"/>
      <c r="H139" s="245"/>
      <c r="I139" s="245"/>
      <c r="J139" s="245"/>
    </row>
    <row r="140" spans="3:28" ht="12" x14ac:dyDescent="0.2">
      <c r="C140" s="1"/>
      <c r="D140" s="1"/>
      <c r="E140" s="1"/>
      <c r="F140" s="1"/>
      <c r="G140" s="245"/>
      <c r="H140" s="245"/>
      <c r="I140" s="245"/>
      <c r="J140" s="245"/>
    </row>
    <row r="141" spans="3:28" ht="12" x14ac:dyDescent="0.2">
      <c r="C141" s="1"/>
      <c r="D141" s="1"/>
      <c r="E141" s="1"/>
      <c r="F141" s="1"/>
      <c r="G141" s="245"/>
      <c r="H141" s="245"/>
      <c r="I141" s="245"/>
      <c r="J141" s="245"/>
    </row>
    <row r="142" spans="3:28" ht="12" x14ac:dyDescent="0.2">
      <c r="C142" s="1"/>
      <c r="D142" s="1"/>
      <c r="E142" s="1"/>
      <c r="F142" s="1"/>
      <c r="G142" s="245"/>
      <c r="H142" s="245"/>
      <c r="I142" s="245"/>
      <c r="J142" s="245"/>
    </row>
    <row r="143" spans="3:28" ht="12" x14ac:dyDescent="0.2">
      <c r="C143" s="1"/>
      <c r="D143" s="1"/>
      <c r="E143" s="1"/>
      <c r="F143" s="1"/>
      <c r="G143" s="245"/>
      <c r="H143" s="245"/>
      <c r="I143" s="245"/>
      <c r="J143" s="245"/>
    </row>
    <row r="144" spans="3:28" ht="12" x14ac:dyDescent="0.2">
      <c r="C144" s="1"/>
      <c r="D144" s="1"/>
      <c r="E144" s="1"/>
      <c r="F144" s="1"/>
      <c r="G144" s="245"/>
      <c r="H144" s="245"/>
      <c r="I144" s="245"/>
      <c r="J144" s="245"/>
    </row>
    <row r="145" spans="3:10" ht="12" x14ac:dyDescent="0.2">
      <c r="C145" s="1"/>
      <c r="D145" s="1"/>
      <c r="E145" s="1"/>
      <c r="F145" s="1"/>
      <c r="G145" s="245"/>
      <c r="H145" s="245"/>
      <c r="I145" s="245"/>
      <c r="J145" s="245"/>
    </row>
    <row r="146" spans="3:10" ht="12" x14ac:dyDescent="0.2">
      <c r="C146" s="1"/>
      <c r="D146" s="1"/>
      <c r="E146" s="1"/>
      <c r="F146" s="1"/>
      <c r="G146" s="245"/>
      <c r="H146" s="245"/>
      <c r="I146" s="245"/>
      <c r="J146" s="245"/>
    </row>
    <row r="147" spans="3:10" ht="12" x14ac:dyDescent="0.2">
      <c r="C147" s="1"/>
      <c r="D147" s="1"/>
      <c r="E147" s="1"/>
      <c r="F147" s="1"/>
      <c r="G147" s="245"/>
      <c r="H147" s="245"/>
      <c r="I147" s="245"/>
      <c r="J147" s="245"/>
    </row>
    <row r="148" spans="3:10" ht="12" x14ac:dyDescent="0.2">
      <c r="C148" s="1"/>
      <c r="D148" s="1"/>
      <c r="E148" s="1"/>
      <c r="F148" s="1"/>
      <c r="G148" s="245"/>
      <c r="H148" s="245"/>
      <c r="I148" s="245"/>
      <c r="J148" s="245"/>
    </row>
  </sheetData>
  <mergeCells count="119">
    <mergeCell ref="S7:T7"/>
    <mergeCell ref="S15:T15"/>
    <mergeCell ref="S23:T23"/>
    <mergeCell ref="S30:T30"/>
    <mergeCell ref="I108:J108"/>
    <mergeCell ref="K23:L23"/>
    <mergeCell ref="I7:J7"/>
    <mergeCell ref="I15:J15"/>
    <mergeCell ref="I23:J23"/>
    <mergeCell ref="I107:J107"/>
    <mergeCell ref="I101:J101"/>
    <mergeCell ref="I97:J97"/>
    <mergeCell ref="I104:J104"/>
    <mergeCell ref="I94:J95"/>
    <mergeCell ref="M7:N7"/>
    <mergeCell ref="M15:N15"/>
    <mergeCell ref="M30:N30"/>
    <mergeCell ref="M56:N56"/>
    <mergeCell ref="O23:P23"/>
    <mergeCell ref="O30:P30"/>
    <mergeCell ref="O7:P7"/>
    <mergeCell ref="O15:P15"/>
    <mergeCell ref="M23:N23"/>
    <mergeCell ref="C103:D103"/>
    <mergeCell ref="O91:P91"/>
    <mergeCell ref="K91:L91"/>
    <mergeCell ref="I103:J103"/>
    <mergeCell ref="AB7:AC7"/>
    <mergeCell ref="AB15:AC15"/>
    <mergeCell ref="AB30:AC30"/>
    <mergeCell ref="AB56:AC56"/>
    <mergeCell ref="I91:J91"/>
    <mergeCell ref="O56:P56"/>
    <mergeCell ref="I24:J24"/>
    <mergeCell ref="I96:J96"/>
    <mergeCell ref="I98:J98"/>
    <mergeCell ref="K7:L7"/>
    <mergeCell ref="K15:L15"/>
    <mergeCell ref="K30:L30"/>
    <mergeCell ref="K56:L56"/>
    <mergeCell ref="I25:J25"/>
    <mergeCell ref="I30:J30"/>
    <mergeCell ref="I56:J56"/>
    <mergeCell ref="I93:J93"/>
    <mergeCell ref="I99:J99"/>
    <mergeCell ref="Q7:R7"/>
    <mergeCell ref="Q15:R15"/>
    <mergeCell ref="E111:F111"/>
    <mergeCell ref="C56:D56"/>
    <mergeCell ref="C100:D100"/>
    <mergeCell ref="C91:D91"/>
    <mergeCell ref="C98:D98"/>
    <mergeCell ref="I111:J111"/>
    <mergeCell ref="E25:F25"/>
    <mergeCell ref="C97:D97"/>
    <mergeCell ref="C111:D111"/>
    <mergeCell ref="I26:J26"/>
    <mergeCell ref="E26:F26"/>
    <mergeCell ref="G111:H111"/>
    <mergeCell ref="C104:D104"/>
    <mergeCell ref="C108:D108"/>
    <mergeCell ref="C99:D99"/>
    <mergeCell ref="C107:D107"/>
    <mergeCell ref="C106:D106"/>
    <mergeCell ref="I106:J106"/>
    <mergeCell ref="I100:J100"/>
    <mergeCell ref="C101:D101"/>
    <mergeCell ref="C105:D105"/>
    <mergeCell ref="I105:J105"/>
    <mergeCell ref="C102:D102"/>
    <mergeCell ref="I102:J102"/>
    <mergeCell ref="C15:D15"/>
    <mergeCell ref="E15:F15"/>
    <mergeCell ref="C23:D23"/>
    <mergeCell ref="E23:F23"/>
    <mergeCell ref="C96:D96"/>
    <mergeCell ref="C24:D24"/>
    <mergeCell ref="C94:D95"/>
    <mergeCell ref="E24:F24"/>
    <mergeCell ref="C30:D30"/>
    <mergeCell ref="E30:F30"/>
    <mergeCell ref="C25:D25"/>
    <mergeCell ref="C93:D93"/>
    <mergeCell ref="E91:F91"/>
    <mergeCell ref="C26:D26"/>
    <mergeCell ref="E56:F56"/>
    <mergeCell ref="G15:H15"/>
    <mergeCell ref="G56:H56"/>
    <mergeCell ref="G23:H23"/>
    <mergeCell ref="G91:H91"/>
    <mergeCell ref="G25:H25"/>
    <mergeCell ref="G30:H30"/>
    <mergeCell ref="G24:H24"/>
    <mergeCell ref="G26:H26"/>
    <mergeCell ref="M91:N91"/>
    <mergeCell ref="Y7:Z7"/>
    <mergeCell ref="Y15:Z15"/>
    <mergeCell ref="Y23:Z23"/>
    <mergeCell ref="Y30:Z30"/>
    <mergeCell ref="Y56:Z56"/>
    <mergeCell ref="Y91:Z91"/>
    <mergeCell ref="Q30:R30"/>
    <mergeCell ref="Q56:R56"/>
    <mergeCell ref="Q91:R91"/>
    <mergeCell ref="U7:V7"/>
    <mergeCell ref="U15:V15"/>
    <mergeCell ref="U23:V23"/>
    <mergeCell ref="U30:V30"/>
    <mergeCell ref="U56:V56"/>
    <mergeCell ref="U91:V91"/>
    <mergeCell ref="Q23:R23"/>
    <mergeCell ref="W7:X7"/>
    <mergeCell ref="W15:X15"/>
    <mergeCell ref="W23:X23"/>
    <mergeCell ref="W30:X30"/>
    <mergeCell ref="W56:X56"/>
    <mergeCell ref="W91:X91"/>
    <mergeCell ref="S56:T56"/>
    <mergeCell ref="S91:T91"/>
  </mergeCells>
  <phoneticPr fontId="0" type="noConversion"/>
  <printOptions horizontalCentered="1"/>
  <pageMargins left="0.22" right="0.31" top="0.5" bottom="0.5" header="0.5" footer="0.5"/>
  <pageSetup scale="70" orientation="landscape" horizontalDpi="4294967292" verticalDpi="4294967292" r:id="rId1"/>
  <headerFooter alignWithMargins="0">
    <oddFooter>&amp;R&amp;P of &amp;N
&amp;D</oddFooter>
  </headerFooter>
  <rowBreaks count="2" manualBreakCount="2">
    <brk id="53" max="18" man="1"/>
    <brk id="125" max="16" man="1"/>
  </rowBreaks>
  <ignoredErrors>
    <ignoredError sqref="M73:M81 M66:M71 S66:S85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40"/>
  <sheetViews>
    <sheetView view="pageBreakPreview" topLeftCell="A59" zoomScaleNormal="70" zoomScaleSheetLayoutView="100" workbookViewId="0">
      <pane xSplit="6" topLeftCell="M1" activePane="topRight" state="frozen"/>
      <selection activeCell="Z73" sqref="Z73"/>
      <selection pane="topRight" activeCell="Z73" sqref="Z73"/>
    </sheetView>
  </sheetViews>
  <sheetFormatPr defaultColWidth="10.28515625" defaultRowHeight="12.75" x14ac:dyDescent="0.2"/>
  <cols>
    <col min="1" max="1" width="3.7109375" style="1" customWidth="1"/>
    <col min="2" max="2" width="32.42578125" style="1" customWidth="1"/>
    <col min="3" max="3" width="7.85546875" hidden="1" customWidth="1"/>
    <col min="4" max="4" width="10.42578125" hidden="1" customWidth="1"/>
    <col min="5" max="5" width="10.28515625" hidden="1" customWidth="1"/>
    <col min="6" max="6" width="11.140625" hidden="1" customWidth="1"/>
    <col min="7" max="7" width="10.28515625" style="246" hidden="1" customWidth="1"/>
    <col min="8" max="8" width="11.140625" style="246" hidden="1" customWidth="1"/>
    <col min="9" max="9" width="9.140625" style="246" hidden="1" customWidth="1"/>
    <col min="10" max="10" width="12.42578125" style="246" hidden="1" customWidth="1"/>
    <col min="11" max="11" width="9.140625" style="1" hidden="1" customWidth="1"/>
    <col min="12" max="12" width="12.42578125" style="1" hidden="1" customWidth="1"/>
    <col min="13" max="13" width="9.140625" style="1" hidden="1" customWidth="1"/>
    <col min="14" max="14" width="11.7109375" style="1" hidden="1" customWidth="1"/>
    <col min="15" max="15" width="9.140625" style="1" customWidth="1"/>
    <col min="16" max="16" width="11.7109375" style="1" customWidth="1"/>
    <col min="17" max="17" width="9.140625" style="1" customWidth="1"/>
    <col min="18" max="18" width="11.7109375" style="1" customWidth="1"/>
    <col min="19" max="19" width="9.140625" style="1" customWidth="1"/>
    <col min="20" max="20" width="12.28515625" style="1" customWidth="1"/>
    <col min="21" max="21" width="9.140625" style="1" customWidth="1"/>
    <col min="22" max="22" width="12.28515625" style="1" customWidth="1"/>
    <col min="23" max="23" width="9.140625" style="1" customWidth="1"/>
    <col min="24" max="24" width="12.28515625" style="1" customWidth="1"/>
    <col min="25" max="25" width="9.140625" style="1" customWidth="1"/>
    <col min="26" max="26" width="12.28515625" style="1" customWidth="1"/>
    <col min="27" max="27" width="3.5703125" style="1" customWidth="1"/>
    <col min="28" max="28" width="10.28515625" style="1" customWidth="1"/>
    <col min="29" max="29" width="11.7109375" style="1" bestFit="1" customWidth="1"/>
    <col min="30" max="30" width="3.42578125" style="1" customWidth="1"/>
    <col min="31" max="16384" width="10.28515625" style="1"/>
  </cols>
  <sheetData>
    <row r="1" spans="1:29" ht="18" x14ac:dyDescent="0.25">
      <c r="A1" s="695" t="str">
        <f>Dean_Bus!A1</f>
        <v>Department Profile Report - FY 2015</v>
      </c>
      <c r="B1" s="695"/>
      <c r="C1" s="695"/>
      <c r="D1" s="695"/>
      <c r="E1" s="695"/>
      <c r="F1" s="695"/>
      <c r="G1" s="695"/>
      <c r="H1" s="695"/>
      <c r="I1" s="696"/>
      <c r="J1" s="696"/>
      <c r="K1" s="696"/>
      <c r="L1" s="696"/>
      <c r="M1" s="696"/>
      <c r="N1" s="696"/>
      <c r="O1" s="696"/>
      <c r="P1" s="696"/>
      <c r="Q1" s="696"/>
      <c r="R1" s="696"/>
      <c r="S1" s="696"/>
      <c r="T1" s="696"/>
      <c r="U1" s="696"/>
      <c r="V1" s="696"/>
      <c r="W1" s="696"/>
      <c r="X1" s="696"/>
      <c r="Y1" s="696"/>
      <c r="Z1" s="696"/>
      <c r="AA1" s="696"/>
      <c r="AB1" s="696"/>
      <c r="AC1" s="696"/>
    </row>
    <row r="2" spans="1:29" x14ac:dyDescent="0.2">
      <c r="A2" s="3" t="s">
        <v>25</v>
      </c>
      <c r="C2" s="1"/>
      <c r="D2" s="1"/>
      <c r="E2" s="1"/>
      <c r="F2" s="1"/>
      <c r="G2" s="245"/>
      <c r="H2" s="245"/>
      <c r="I2" s="245"/>
      <c r="J2" s="245"/>
      <c r="AC2" s="1" t="s">
        <v>26</v>
      </c>
    </row>
    <row r="3" spans="1:29" ht="12" x14ac:dyDescent="0.2">
      <c r="C3" s="1"/>
      <c r="D3" s="1"/>
      <c r="E3" s="1"/>
      <c r="F3" s="1"/>
      <c r="G3" s="245"/>
      <c r="H3" s="245"/>
      <c r="I3" s="245"/>
      <c r="J3" s="245"/>
      <c r="AC3" s="1" t="s">
        <v>26</v>
      </c>
    </row>
    <row r="4" spans="1:29" x14ac:dyDescent="0.2">
      <c r="A4" s="3" t="s">
        <v>61</v>
      </c>
      <c r="C4" s="1"/>
      <c r="D4" s="1"/>
      <c r="E4" s="1"/>
      <c r="F4" s="1"/>
      <c r="G4" s="245"/>
      <c r="H4" s="245"/>
      <c r="I4" s="245"/>
      <c r="J4" s="245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</row>
    <row r="5" spans="1:29" thickBot="1" x14ac:dyDescent="0.25">
      <c r="A5" s="2"/>
      <c r="C5" s="1"/>
      <c r="D5" s="1"/>
      <c r="E5" s="1"/>
      <c r="F5" s="1"/>
      <c r="G5" s="245"/>
      <c r="H5" s="245"/>
      <c r="I5" s="245"/>
      <c r="J5" s="245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B5" s="12"/>
      <c r="AC5" s="12"/>
    </row>
    <row r="6" spans="1:29" ht="13.5" customHeight="1" thickTop="1" x14ac:dyDescent="0.2">
      <c r="B6" s="42"/>
      <c r="C6" s="21" t="s">
        <v>39</v>
      </c>
      <c r="D6" s="22"/>
      <c r="E6" s="8" t="s">
        <v>40</v>
      </c>
      <c r="F6" s="4"/>
      <c r="G6" s="276" t="s">
        <v>97</v>
      </c>
      <c r="H6" s="352"/>
      <c r="I6" s="1180" t="s">
        <v>108</v>
      </c>
      <c r="J6" s="1180"/>
      <c r="K6" s="1179" t="s">
        <v>109</v>
      </c>
      <c r="L6" s="1180"/>
      <c r="M6" s="1179" t="s">
        <v>111</v>
      </c>
      <c r="N6" s="1181"/>
      <c r="O6" s="1180" t="s">
        <v>164</v>
      </c>
      <c r="P6" s="1181"/>
      <c r="Q6" s="1180" t="s">
        <v>169</v>
      </c>
      <c r="R6" s="1181"/>
      <c r="S6" s="1180" t="s">
        <v>176</v>
      </c>
      <c r="T6" s="1181"/>
      <c r="U6" s="1180" t="s">
        <v>179</v>
      </c>
      <c r="V6" s="1181"/>
      <c r="W6" s="1180" t="s">
        <v>183</v>
      </c>
      <c r="X6" s="1181"/>
      <c r="Y6" s="1180" t="s">
        <v>187</v>
      </c>
      <c r="Z6" s="1181"/>
      <c r="AB6" s="1168" t="s">
        <v>118</v>
      </c>
      <c r="AC6" s="1219"/>
    </row>
    <row r="7" spans="1:29" ht="12" x14ac:dyDescent="0.2">
      <c r="B7" s="43"/>
      <c r="C7" s="23" t="s">
        <v>1</v>
      </c>
      <c r="D7" s="24" t="s">
        <v>2</v>
      </c>
      <c r="E7" s="9" t="s">
        <v>1</v>
      </c>
      <c r="F7" s="5" t="s">
        <v>2</v>
      </c>
      <c r="G7" s="277" t="s">
        <v>1</v>
      </c>
      <c r="H7" s="353" t="s">
        <v>2</v>
      </c>
      <c r="I7" s="348" t="s">
        <v>1</v>
      </c>
      <c r="J7" s="427" t="s">
        <v>2</v>
      </c>
      <c r="K7" s="277" t="s">
        <v>1</v>
      </c>
      <c r="L7" s="427" t="s">
        <v>2</v>
      </c>
      <c r="M7" s="277" t="s">
        <v>1</v>
      </c>
      <c r="N7" s="353" t="s">
        <v>2</v>
      </c>
      <c r="O7" s="348" t="s">
        <v>1</v>
      </c>
      <c r="P7" s="353" t="s">
        <v>2</v>
      </c>
      <c r="Q7" s="348" t="s">
        <v>1</v>
      </c>
      <c r="R7" s="353" t="s">
        <v>2</v>
      </c>
      <c r="S7" s="348" t="s">
        <v>1</v>
      </c>
      <c r="T7" s="353" t="s">
        <v>2</v>
      </c>
      <c r="U7" s="348" t="s">
        <v>1</v>
      </c>
      <c r="V7" s="353" t="s">
        <v>2</v>
      </c>
      <c r="W7" s="348" t="s">
        <v>1</v>
      </c>
      <c r="X7" s="353" t="s">
        <v>2</v>
      </c>
      <c r="Y7" s="348" t="s">
        <v>1</v>
      </c>
      <c r="Z7" s="353" t="s">
        <v>2</v>
      </c>
      <c r="AB7" s="665" t="s">
        <v>1</v>
      </c>
      <c r="AC7" s="663" t="s">
        <v>2</v>
      </c>
    </row>
    <row r="8" spans="1:29" thickBot="1" x14ac:dyDescent="0.25">
      <c r="B8" s="44"/>
      <c r="C8" s="547" t="s">
        <v>3</v>
      </c>
      <c r="D8" s="86" t="s">
        <v>4</v>
      </c>
      <c r="E8" s="85" t="s">
        <v>3</v>
      </c>
      <c r="F8" s="308" t="s">
        <v>4</v>
      </c>
      <c r="G8" s="317" t="s">
        <v>3</v>
      </c>
      <c r="H8" s="354" t="s">
        <v>4</v>
      </c>
      <c r="I8" s="349" t="s">
        <v>3</v>
      </c>
      <c r="J8" s="428" t="s">
        <v>4</v>
      </c>
      <c r="K8" s="317" t="s">
        <v>3</v>
      </c>
      <c r="L8" s="428" t="s">
        <v>4</v>
      </c>
      <c r="M8" s="317" t="s">
        <v>3</v>
      </c>
      <c r="N8" s="354" t="s">
        <v>4</v>
      </c>
      <c r="O8" s="349" t="s">
        <v>3</v>
      </c>
      <c r="P8" s="354" t="s">
        <v>4</v>
      </c>
      <c r="Q8" s="349" t="s">
        <v>3</v>
      </c>
      <c r="R8" s="354" t="s">
        <v>4</v>
      </c>
      <c r="S8" s="349" t="s">
        <v>3</v>
      </c>
      <c r="T8" s="354" t="s">
        <v>4</v>
      </c>
      <c r="U8" s="349" t="s">
        <v>3</v>
      </c>
      <c r="V8" s="354" t="s">
        <v>4</v>
      </c>
      <c r="W8" s="349" t="s">
        <v>3</v>
      </c>
      <c r="X8" s="354" t="s">
        <v>4</v>
      </c>
      <c r="Y8" s="349" t="s">
        <v>3</v>
      </c>
      <c r="Z8" s="354" t="s">
        <v>4</v>
      </c>
      <c r="AB8" s="590" t="s">
        <v>3</v>
      </c>
      <c r="AC8" s="664" t="s">
        <v>4</v>
      </c>
    </row>
    <row r="9" spans="1:29" ht="12" x14ac:dyDescent="0.2">
      <c r="B9" s="45" t="s">
        <v>5</v>
      </c>
      <c r="C9" s="548"/>
      <c r="D9" s="88"/>
      <c r="E9" s="87"/>
      <c r="F9" s="108"/>
      <c r="G9" s="318"/>
      <c r="H9" s="355"/>
      <c r="I9" s="350"/>
      <c r="J9" s="429"/>
      <c r="K9" s="318"/>
      <c r="L9" s="429"/>
      <c r="M9" s="318"/>
      <c r="N9" s="355"/>
      <c r="O9" s="350"/>
      <c r="P9" s="355"/>
      <c r="Q9" s="350"/>
      <c r="R9" s="355"/>
      <c r="S9" s="350"/>
      <c r="T9" s="355"/>
      <c r="U9" s="350"/>
      <c r="V9" s="355"/>
      <c r="W9" s="350"/>
      <c r="X9" s="355"/>
      <c r="Y9" s="350"/>
      <c r="Z9" s="355"/>
      <c r="AB9" s="19"/>
      <c r="AC9" s="583"/>
    </row>
    <row r="10" spans="1:29" ht="12" x14ac:dyDescent="0.2">
      <c r="B10" s="46" t="s">
        <v>49</v>
      </c>
      <c r="C10" s="26"/>
      <c r="D10" s="27"/>
      <c r="E10" s="13"/>
      <c r="F10" s="14"/>
      <c r="G10" s="279"/>
      <c r="H10" s="356"/>
      <c r="I10" s="111"/>
      <c r="J10" s="430"/>
      <c r="K10" s="279"/>
      <c r="L10" s="430"/>
      <c r="M10" s="279"/>
      <c r="N10" s="356"/>
      <c r="O10" s="111"/>
      <c r="P10" s="356"/>
      <c r="Q10" s="111"/>
      <c r="R10" s="356"/>
      <c r="S10" s="111"/>
      <c r="T10" s="356"/>
      <c r="U10" s="111"/>
      <c r="V10" s="356"/>
      <c r="W10" s="111"/>
      <c r="X10" s="356"/>
      <c r="Y10" s="111"/>
      <c r="Z10" s="356"/>
      <c r="AB10" s="19"/>
      <c r="AC10" s="583"/>
    </row>
    <row r="11" spans="1:29" ht="12" x14ac:dyDescent="0.2">
      <c r="B11" s="47" t="s">
        <v>151</v>
      </c>
      <c r="C11" s="26">
        <v>370</v>
      </c>
      <c r="D11" s="27">
        <v>194</v>
      </c>
      <c r="E11" s="28">
        <f>315+72</f>
        <v>387</v>
      </c>
      <c r="F11" s="14">
        <v>212</v>
      </c>
      <c r="G11" s="279">
        <v>379</v>
      </c>
      <c r="H11" s="356">
        <v>166</v>
      </c>
      <c r="I11" s="111">
        <v>406</v>
      </c>
      <c r="J11" s="430">
        <f>92+59+19+23</f>
        <v>193</v>
      </c>
      <c r="K11" s="279">
        <v>392</v>
      </c>
      <c r="L11" s="430">
        <f>173+38</f>
        <v>211</v>
      </c>
      <c r="M11" s="279">
        <v>332</v>
      </c>
      <c r="N11" s="356">
        <v>151</v>
      </c>
      <c r="O11" s="111">
        <v>323</v>
      </c>
      <c r="P11" s="356">
        <f>154+14</f>
        <v>168</v>
      </c>
      <c r="Q11" s="111">
        <v>271</v>
      </c>
      <c r="R11" s="356">
        <v>125</v>
      </c>
      <c r="S11" s="111">
        <v>269</v>
      </c>
      <c r="T11" s="356">
        <v>115</v>
      </c>
      <c r="U11" s="111">
        <v>271</v>
      </c>
      <c r="V11" s="356">
        <v>131</v>
      </c>
      <c r="W11" s="111">
        <v>299</v>
      </c>
      <c r="X11" s="356">
        <v>130</v>
      </c>
      <c r="Y11" s="111">
        <v>314</v>
      </c>
      <c r="Z11" s="1003"/>
      <c r="AB11" s="673">
        <f>AVERAGE(W11,U11,S11,Q11,Y11)</f>
        <v>284.8</v>
      </c>
      <c r="AC11" s="674">
        <f>AVERAGE(X11,V11,T11,R11,Z11)</f>
        <v>125.25</v>
      </c>
    </row>
    <row r="12" spans="1:29" ht="12" x14ac:dyDescent="0.2">
      <c r="B12" s="819" t="s">
        <v>165</v>
      </c>
      <c r="C12" s="13"/>
      <c r="D12" s="110"/>
      <c r="E12" s="13"/>
      <c r="F12" s="14"/>
      <c r="G12" s="279"/>
      <c r="H12" s="356"/>
      <c r="I12" s="111"/>
      <c r="J12" s="430"/>
      <c r="K12" s="279"/>
      <c r="L12" s="430"/>
      <c r="M12" s="279"/>
      <c r="N12" s="356"/>
      <c r="O12" s="111"/>
      <c r="P12" s="356"/>
      <c r="Q12" s="111"/>
      <c r="R12" s="356"/>
      <c r="S12" s="111"/>
      <c r="T12" s="356"/>
      <c r="U12" s="111"/>
      <c r="V12" s="356"/>
      <c r="W12" s="111"/>
      <c r="X12" s="356"/>
      <c r="Y12" s="111"/>
      <c r="Z12" s="1003"/>
      <c r="AA12" s="589"/>
      <c r="AB12" s="1102"/>
      <c r="AC12" s="602"/>
    </row>
    <row r="13" spans="1:29" ht="12" x14ac:dyDescent="0.2">
      <c r="B13" s="551" t="s">
        <v>151</v>
      </c>
      <c r="C13" s="13"/>
      <c r="D13" s="110"/>
      <c r="E13" s="820"/>
      <c r="F13" s="821"/>
      <c r="G13" s="822"/>
      <c r="H13" s="823"/>
      <c r="I13" s="820"/>
      <c r="J13" s="821"/>
      <c r="K13" s="1001"/>
      <c r="L13" s="1002"/>
      <c r="M13" s="1001"/>
      <c r="N13" s="1003"/>
      <c r="O13" s="111">
        <v>9</v>
      </c>
      <c r="P13" s="356">
        <v>3</v>
      </c>
      <c r="Q13" s="111">
        <v>64</v>
      </c>
      <c r="R13" s="356">
        <v>12</v>
      </c>
      <c r="S13" s="111">
        <v>67</v>
      </c>
      <c r="T13" s="356">
        <v>29</v>
      </c>
      <c r="U13" s="111">
        <v>63</v>
      </c>
      <c r="V13" s="356">
        <v>27</v>
      </c>
      <c r="W13" s="111">
        <v>62</v>
      </c>
      <c r="X13" s="356">
        <v>25</v>
      </c>
      <c r="Y13" s="111">
        <v>89</v>
      </c>
      <c r="Z13" s="1003"/>
      <c r="AA13" s="589"/>
      <c r="AB13" s="673">
        <f t="shared" ref="AB13:AC13" si="0">AVERAGE(W13,U13,S13,Q13,Y13)</f>
        <v>69</v>
      </c>
      <c r="AC13" s="602">
        <f t="shared" si="0"/>
        <v>23.25</v>
      </c>
    </row>
    <row r="14" spans="1:29" ht="12" x14ac:dyDescent="0.2">
      <c r="B14" s="551" t="s">
        <v>186</v>
      </c>
      <c r="C14" s="13"/>
      <c r="D14" s="110"/>
      <c r="E14" s="820"/>
      <c r="F14" s="821"/>
      <c r="G14" s="822"/>
      <c r="H14" s="823"/>
      <c r="I14" s="820"/>
      <c r="J14" s="821"/>
      <c r="K14" s="1001"/>
      <c r="L14" s="1002"/>
      <c r="M14" s="1001"/>
      <c r="N14" s="1003"/>
      <c r="O14" s="111"/>
      <c r="P14" s="356"/>
      <c r="Q14" s="111"/>
      <c r="R14" s="356"/>
      <c r="S14" s="111"/>
      <c r="T14" s="356"/>
      <c r="U14" s="111"/>
      <c r="V14" s="356"/>
      <c r="W14" s="111">
        <v>68</v>
      </c>
      <c r="X14" s="356">
        <v>6</v>
      </c>
      <c r="Y14" s="111">
        <v>56</v>
      </c>
      <c r="Z14" s="1003"/>
      <c r="AA14" s="253"/>
      <c r="AB14" s="666"/>
      <c r="AC14" s="602"/>
    </row>
    <row r="15" spans="1:29" ht="12" x14ac:dyDescent="0.2">
      <c r="B15" s="46" t="s">
        <v>178</v>
      </c>
      <c r="C15" s="26"/>
      <c r="D15" s="27"/>
      <c r="E15" s="26"/>
      <c r="F15" s="14"/>
      <c r="G15" s="279"/>
      <c r="H15" s="356"/>
      <c r="I15" s="111"/>
      <c r="J15" s="430"/>
      <c r="K15" s="279"/>
      <c r="L15" s="430"/>
      <c r="M15" s="279"/>
      <c r="N15" s="356"/>
      <c r="O15" s="111"/>
      <c r="P15" s="356"/>
      <c r="Q15" s="111"/>
      <c r="R15" s="356"/>
      <c r="S15" s="111"/>
      <c r="T15" s="356"/>
      <c r="U15" s="111"/>
      <c r="V15" s="356"/>
      <c r="W15" s="111"/>
      <c r="X15" s="356"/>
      <c r="Y15" s="111"/>
      <c r="Z15" s="1003"/>
      <c r="AB15" s="1102"/>
      <c r="AC15" s="1103"/>
    </row>
    <row r="16" spans="1:29" thickBot="1" x14ac:dyDescent="0.25">
      <c r="B16" s="48" t="s">
        <v>151</v>
      </c>
      <c r="C16" s="300">
        <v>138</v>
      </c>
      <c r="D16" s="31">
        <v>67</v>
      </c>
      <c r="E16" s="30">
        <f>74+16</f>
        <v>90</v>
      </c>
      <c r="F16" s="7">
        <v>62</v>
      </c>
      <c r="G16" s="300">
        <v>51</v>
      </c>
      <c r="H16" s="357">
        <v>34</v>
      </c>
      <c r="I16" s="351">
        <v>42</v>
      </c>
      <c r="J16" s="446">
        <v>24</v>
      </c>
      <c r="K16" s="300">
        <v>49</v>
      </c>
      <c r="L16" s="446">
        <v>27</v>
      </c>
      <c r="M16" s="300">
        <f>42+4</f>
        <v>46</v>
      </c>
      <c r="N16" s="357">
        <v>28</v>
      </c>
      <c r="O16" s="351">
        <v>39</v>
      </c>
      <c r="P16" s="357">
        <f>23+1</f>
        <v>24</v>
      </c>
      <c r="Q16" s="351">
        <v>57</v>
      </c>
      <c r="R16" s="357">
        <v>28</v>
      </c>
      <c r="S16" s="351">
        <v>56</v>
      </c>
      <c r="T16" s="357">
        <v>36</v>
      </c>
      <c r="U16" s="351">
        <v>58</v>
      </c>
      <c r="V16" s="357">
        <v>36</v>
      </c>
      <c r="W16" s="351">
        <v>65</v>
      </c>
      <c r="X16" s="357">
        <v>33</v>
      </c>
      <c r="Y16" s="351">
        <v>56</v>
      </c>
      <c r="Z16" s="1039"/>
      <c r="AB16" s="667">
        <f t="shared" ref="AB16:AC16" si="1">AVERAGE(W16,U16,S16,Q16,Y16)</f>
        <v>58.4</v>
      </c>
      <c r="AC16" s="1104">
        <f t="shared" si="1"/>
        <v>33.25</v>
      </c>
    </row>
    <row r="17" spans="1:31" hidden="1" thickTop="1" x14ac:dyDescent="0.2">
      <c r="B17" s="335" t="s">
        <v>32</v>
      </c>
      <c r="C17" s="26"/>
      <c r="D17" s="27"/>
      <c r="E17" s="13"/>
      <c r="F17" s="14"/>
      <c r="G17" s="279"/>
      <c r="H17" s="356"/>
      <c r="I17" s="111"/>
      <c r="J17" s="430"/>
      <c r="K17" s="279"/>
      <c r="L17" s="430"/>
      <c r="M17" s="279"/>
      <c r="N17" s="356"/>
      <c r="O17" s="111"/>
      <c r="P17" s="248"/>
      <c r="Q17" s="111"/>
      <c r="R17" s="248"/>
      <c r="S17" s="111"/>
      <c r="T17" s="248"/>
      <c r="U17" s="111"/>
      <c r="V17" s="248"/>
      <c r="W17" s="111"/>
      <c r="X17" s="248"/>
      <c r="Y17" s="111"/>
      <c r="Z17" s="248"/>
      <c r="AB17" s="673"/>
      <c r="AC17" s="674"/>
    </row>
    <row r="18" spans="1:31" ht="13.5" hidden="1" thickTop="1" thickBot="1" x14ac:dyDescent="0.25">
      <c r="B18" s="305" t="s">
        <v>29</v>
      </c>
      <c r="C18" s="549">
        <v>9</v>
      </c>
      <c r="D18" s="509">
        <v>0</v>
      </c>
      <c r="E18" s="508">
        <v>6</v>
      </c>
      <c r="F18" s="510">
        <v>0</v>
      </c>
      <c r="G18" s="511">
        <v>3</v>
      </c>
      <c r="H18" s="512">
        <v>0</v>
      </c>
      <c r="I18" s="513">
        <v>2</v>
      </c>
      <c r="J18" s="514">
        <v>0</v>
      </c>
      <c r="K18" s="515"/>
      <c r="L18" s="565"/>
      <c r="M18" s="515"/>
      <c r="N18" s="845"/>
      <c r="O18" s="844"/>
      <c r="P18" s="516"/>
      <c r="Q18" s="844"/>
      <c r="R18" s="516"/>
      <c r="S18" s="844"/>
      <c r="T18" s="516"/>
      <c r="U18" s="844"/>
      <c r="V18" s="516"/>
      <c r="W18" s="844"/>
      <c r="X18" s="516"/>
      <c r="Y18" s="844"/>
      <c r="Z18" s="516"/>
      <c r="AB18" s="739" t="s">
        <v>145</v>
      </c>
      <c r="AC18" s="740" t="s">
        <v>146</v>
      </c>
    </row>
    <row r="19" spans="1:31" thickTop="1" x14ac:dyDescent="0.2">
      <c r="B19" s="133" t="s">
        <v>150</v>
      </c>
      <c r="C19" s="58"/>
      <c r="D19" s="61"/>
      <c r="E19" s="58"/>
      <c r="F19" s="61"/>
      <c r="G19" s="249"/>
      <c r="H19" s="250"/>
      <c r="I19" s="249"/>
      <c r="J19" s="250"/>
      <c r="K19" s="249"/>
      <c r="L19" s="250"/>
      <c r="M19" s="249"/>
      <c r="N19" s="250"/>
      <c r="O19" s="249"/>
      <c r="P19" s="250"/>
      <c r="Q19" s="249"/>
      <c r="R19" s="250"/>
      <c r="S19" s="249"/>
      <c r="T19" s="250"/>
      <c r="U19" s="249"/>
      <c r="V19" s="250"/>
      <c r="W19" s="249"/>
      <c r="X19" s="250"/>
      <c r="Y19" s="249"/>
      <c r="Z19" s="250"/>
      <c r="AB19" s="59"/>
      <c r="AC19" s="59"/>
    </row>
    <row r="20" spans="1:31" ht="12" hidden="1" x14ac:dyDescent="0.2">
      <c r="B20" s="62" t="s">
        <v>153</v>
      </c>
      <c r="C20" s="58"/>
      <c r="D20" s="61"/>
      <c r="E20" s="58"/>
      <c r="F20" s="61"/>
      <c r="G20" s="249"/>
      <c r="H20" s="250"/>
      <c r="I20" s="249"/>
      <c r="J20" s="250"/>
      <c r="K20" s="249"/>
      <c r="L20" s="250"/>
      <c r="M20" s="249"/>
      <c r="N20" s="250"/>
      <c r="O20" s="249"/>
      <c r="P20" s="250"/>
      <c r="Q20" s="249"/>
      <c r="R20" s="250"/>
      <c r="S20" s="249"/>
      <c r="T20" s="250"/>
      <c r="U20" s="249"/>
      <c r="V20" s="250"/>
      <c r="W20" s="249"/>
      <c r="X20" s="250"/>
      <c r="Y20" s="249"/>
      <c r="Z20" s="250"/>
      <c r="AB20" s="59"/>
      <c r="AC20" s="738"/>
    </row>
    <row r="21" spans="1:31" ht="12" hidden="1" x14ac:dyDescent="0.2">
      <c r="B21" s="62" t="s">
        <v>50</v>
      </c>
      <c r="C21" s="58"/>
      <c r="D21" s="61"/>
      <c r="E21" s="58"/>
      <c r="F21" s="61"/>
      <c r="G21" s="249"/>
      <c r="H21" s="250"/>
      <c r="I21" s="249"/>
      <c r="J21" s="250"/>
      <c r="K21" s="249"/>
      <c r="L21" s="250"/>
      <c r="M21" s="249"/>
      <c r="N21" s="250"/>
      <c r="O21" s="249"/>
      <c r="P21" s="250"/>
      <c r="Q21" s="249"/>
      <c r="R21" s="250"/>
      <c r="S21" s="249"/>
      <c r="T21" s="250"/>
      <c r="U21" s="249"/>
      <c r="V21" s="250"/>
      <c r="W21" s="249"/>
      <c r="X21" s="250"/>
      <c r="Y21" s="249"/>
      <c r="Z21" s="250"/>
      <c r="AB21" s="59"/>
      <c r="AC21" s="738"/>
    </row>
    <row r="22" spans="1:31" thickBot="1" x14ac:dyDescent="0.25">
      <c r="B22" s="60"/>
      <c r="C22" s="58"/>
      <c r="D22" s="61"/>
      <c r="E22" s="58"/>
      <c r="F22" s="61"/>
      <c r="G22" s="249"/>
      <c r="H22" s="250"/>
      <c r="I22" s="249"/>
      <c r="J22" s="250"/>
      <c r="K22" s="249"/>
      <c r="L22" s="250"/>
      <c r="M22" s="249"/>
      <c r="N22" s="250"/>
      <c r="O22" s="249"/>
      <c r="P22" s="250"/>
      <c r="Q22" s="249"/>
      <c r="R22" s="250"/>
      <c r="S22" s="249"/>
      <c r="T22" s="250"/>
      <c r="U22" s="249"/>
      <c r="V22" s="250"/>
      <c r="W22" s="249"/>
      <c r="X22" s="250"/>
      <c r="Y22" s="249"/>
      <c r="Z22" s="250"/>
      <c r="AB22" s="12"/>
      <c r="AC22" s="741"/>
      <c r="AE22" s="1" t="s">
        <v>26</v>
      </c>
    </row>
    <row r="23" spans="1:31" ht="13.5" thickTop="1" thickBot="1" x14ac:dyDescent="0.25">
      <c r="B23" s="866"/>
      <c r="C23" s="1151" t="s">
        <v>39</v>
      </c>
      <c r="D23" s="1152"/>
      <c r="E23" s="1153" t="s">
        <v>40</v>
      </c>
      <c r="F23" s="1153"/>
      <c r="G23" s="1150" t="s">
        <v>97</v>
      </c>
      <c r="H23" s="1134"/>
      <c r="I23" s="1133" t="s">
        <v>108</v>
      </c>
      <c r="J23" s="1133"/>
      <c r="K23" s="1150" t="s">
        <v>109</v>
      </c>
      <c r="L23" s="1133"/>
      <c r="M23" s="1150" t="s">
        <v>111</v>
      </c>
      <c r="N23" s="1134"/>
      <c r="O23" s="1133" t="s">
        <v>164</v>
      </c>
      <c r="P23" s="1134"/>
      <c r="Q23" s="1133" t="s">
        <v>169</v>
      </c>
      <c r="R23" s="1134"/>
      <c r="S23" s="1133" t="s">
        <v>176</v>
      </c>
      <c r="T23" s="1134"/>
      <c r="U23" s="1133" t="s">
        <v>179</v>
      </c>
      <c r="V23" s="1134"/>
      <c r="W23" s="1133" t="s">
        <v>183</v>
      </c>
      <c r="X23" s="1134"/>
      <c r="Y23" s="1133" t="s">
        <v>187</v>
      </c>
      <c r="Z23" s="1134"/>
      <c r="AB23" s="1220" t="s">
        <v>118</v>
      </c>
      <c r="AC23" s="1221"/>
    </row>
    <row r="24" spans="1:31" ht="12" x14ac:dyDescent="0.2">
      <c r="B24" s="45" t="s">
        <v>6</v>
      </c>
      <c r="C24" s="149"/>
      <c r="D24" s="150"/>
      <c r="E24" s="33"/>
      <c r="F24" s="33"/>
      <c r="G24" s="280"/>
      <c r="H24" s="360"/>
      <c r="I24" s="358"/>
      <c r="J24" s="358"/>
      <c r="K24" s="280"/>
      <c r="L24" s="358"/>
      <c r="M24" s="280"/>
      <c r="N24" s="360"/>
      <c r="O24" s="358"/>
      <c r="P24" s="360"/>
      <c r="Q24" s="358"/>
      <c r="R24" s="360"/>
      <c r="S24" s="358"/>
      <c r="T24" s="360"/>
      <c r="U24" s="358"/>
      <c r="V24" s="360"/>
      <c r="W24" s="358"/>
      <c r="X24" s="360"/>
      <c r="Y24" s="358"/>
      <c r="Z24" s="360"/>
      <c r="AA24" s="583"/>
      <c r="AB24" s="733"/>
      <c r="AC24" s="734"/>
    </row>
    <row r="25" spans="1:31" ht="12" x14ac:dyDescent="0.2">
      <c r="B25" s="49" t="s">
        <v>7</v>
      </c>
      <c r="C25" s="151"/>
      <c r="D25" s="152"/>
      <c r="E25" s="33"/>
      <c r="F25" s="33"/>
      <c r="G25" s="280"/>
      <c r="H25" s="360"/>
      <c r="I25" s="358"/>
      <c r="J25" s="358"/>
      <c r="K25" s="280"/>
      <c r="L25" s="358"/>
      <c r="M25" s="280"/>
      <c r="N25" s="360"/>
      <c r="O25" s="358"/>
      <c r="P25" s="360"/>
      <c r="Q25" s="358"/>
      <c r="R25" s="360"/>
      <c r="S25" s="358"/>
      <c r="T25" s="360"/>
      <c r="U25" s="358"/>
      <c r="V25" s="360"/>
      <c r="W25" s="358"/>
      <c r="X25" s="360"/>
      <c r="Y25" s="358"/>
      <c r="Z25" s="360"/>
      <c r="AA25" s="583"/>
      <c r="AC25" s="583"/>
    </row>
    <row r="26" spans="1:31" ht="12" x14ac:dyDescent="0.2">
      <c r="B26" s="49" t="s">
        <v>8</v>
      </c>
      <c r="C26" s="151"/>
      <c r="D26" s="153">
        <v>0</v>
      </c>
      <c r="E26" s="33"/>
      <c r="F26" s="33">
        <v>0</v>
      </c>
      <c r="G26" s="280"/>
      <c r="H26" s="360">
        <v>0</v>
      </c>
      <c r="I26" s="358"/>
      <c r="J26" s="358">
        <v>0</v>
      </c>
      <c r="K26" s="280"/>
      <c r="L26" s="358">
        <v>0</v>
      </c>
      <c r="M26" s="280"/>
      <c r="N26" s="360">
        <v>0</v>
      </c>
      <c r="O26" s="358"/>
      <c r="P26" s="360">
        <v>0</v>
      </c>
      <c r="Q26" s="358"/>
      <c r="R26" s="360">
        <v>0</v>
      </c>
      <c r="S26" s="358"/>
      <c r="T26" s="360">
        <v>0</v>
      </c>
      <c r="U26" s="358"/>
      <c r="V26" s="360">
        <v>0</v>
      </c>
      <c r="W26" s="358"/>
      <c r="X26" s="360">
        <v>0</v>
      </c>
      <c r="Y26" s="358"/>
      <c r="Z26" s="1095"/>
      <c r="AA26" s="583"/>
      <c r="AB26" s="33"/>
      <c r="AC26" s="676">
        <f t="shared" ref="AC26:AC30" si="2">AVERAGE(X26,V26,T26,R26,Z26)</f>
        <v>0</v>
      </c>
    </row>
    <row r="27" spans="1:31" ht="12" x14ac:dyDescent="0.2">
      <c r="B27" s="49" t="s">
        <v>9</v>
      </c>
      <c r="C27" s="151"/>
      <c r="D27" s="153">
        <v>17711</v>
      </c>
      <c r="E27" s="33"/>
      <c r="F27" s="181">
        <v>17337</v>
      </c>
      <c r="G27" s="280"/>
      <c r="H27" s="393">
        <v>17396</v>
      </c>
      <c r="I27" s="358"/>
      <c r="J27" s="398">
        <v>17789</v>
      </c>
      <c r="K27" s="280"/>
      <c r="L27" s="398">
        <v>18444</v>
      </c>
      <c r="M27" s="280"/>
      <c r="N27" s="393">
        <v>17872</v>
      </c>
      <c r="O27" s="358"/>
      <c r="P27" s="393">
        <v>16980</v>
      </c>
      <c r="Q27" s="358"/>
      <c r="R27" s="393">
        <v>16435</v>
      </c>
      <c r="S27" s="358"/>
      <c r="T27" s="393">
        <v>18561</v>
      </c>
      <c r="U27" s="358"/>
      <c r="V27" s="393">
        <v>19189</v>
      </c>
      <c r="W27" s="358"/>
      <c r="X27" s="393">
        <v>20002</v>
      </c>
      <c r="Y27" s="358"/>
      <c r="Z27" s="1099"/>
      <c r="AA27" s="583"/>
      <c r="AB27" s="34"/>
      <c r="AC27" s="676">
        <f t="shared" si="2"/>
        <v>18546.75</v>
      </c>
    </row>
    <row r="28" spans="1:31" ht="12" x14ac:dyDescent="0.2">
      <c r="B28" s="49" t="s">
        <v>10</v>
      </c>
      <c r="C28" s="151"/>
      <c r="D28" s="153">
        <v>789</v>
      </c>
      <c r="E28" s="33"/>
      <c r="F28" s="181">
        <v>772</v>
      </c>
      <c r="G28" s="280"/>
      <c r="H28" s="393">
        <v>840</v>
      </c>
      <c r="I28" s="358"/>
      <c r="J28" s="398">
        <v>906</v>
      </c>
      <c r="K28" s="280"/>
      <c r="L28" s="398">
        <v>930</v>
      </c>
      <c r="M28" s="280"/>
      <c r="N28" s="393">
        <v>889</v>
      </c>
      <c r="O28" s="358"/>
      <c r="P28" s="393">
        <v>730</v>
      </c>
      <c r="Q28" s="358"/>
      <c r="R28" s="393">
        <v>741</v>
      </c>
      <c r="S28" s="358"/>
      <c r="T28" s="393">
        <v>765</v>
      </c>
      <c r="U28" s="358"/>
      <c r="V28" s="393">
        <v>795</v>
      </c>
      <c r="W28" s="358"/>
      <c r="X28" s="393">
        <v>847</v>
      </c>
      <c r="Y28" s="358"/>
      <c r="Z28" s="1099"/>
      <c r="AB28" s="677"/>
      <c r="AC28" s="676">
        <f t="shared" si="2"/>
        <v>787</v>
      </c>
    </row>
    <row r="29" spans="1:31" ht="12" x14ac:dyDescent="0.2">
      <c r="B29" s="49" t="s">
        <v>11</v>
      </c>
      <c r="C29" s="151"/>
      <c r="D29" s="153"/>
      <c r="E29" s="33"/>
      <c r="F29" s="181"/>
      <c r="G29" s="280"/>
      <c r="H29" s="393">
        <v>0</v>
      </c>
      <c r="I29" s="358"/>
      <c r="J29" s="398">
        <v>0</v>
      </c>
      <c r="K29" s="280"/>
      <c r="L29" s="398">
        <v>0</v>
      </c>
      <c r="M29" s="280"/>
      <c r="N29" s="393">
        <v>0</v>
      </c>
      <c r="O29" s="358"/>
      <c r="P29" s="393">
        <v>0</v>
      </c>
      <c r="Q29" s="358"/>
      <c r="R29" s="393">
        <v>0</v>
      </c>
      <c r="S29" s="358"/>
      <c r="T29" s="393">
        <v>0</v>
      </c>
      <c r="U29" s="358"/>
      <c r="V29" s="393">
        <v>0</v>
      </c>
      <c r="W29" s="358"/>
      <c r="X29" s="393">
        <v>0</v>
      </c>
      <c r="Y29" s="358"/>
      <c r="Z29" s="1099"/>
      <c r="AB29" s="677"/>
      <c r="AC29" s="676">
        <f t="shared" si="2"/>
        <v>0</v>
      </c>
    </row>
    <row r="30" spans="1:31" thickBot="1" x14ac:dyDescent="0.25">
      <c r="B30" s="50" t="s">
        <v>12</v>
      </c>
      <c r="C30" s="154"/>
      <c r="D30" s="155">
        <f>SUM(D27:D29)</f>
        <v>18500</v>
      </c>
      <c r="E30" s="35"/>
      <c r="F30" s="336">
        <f>SUM(F27:F29)</f>
        <v>18109</v>
      </c>
      <c r="G30" s="303"/>
      <c r="H30" s="394">
        <f>SUM(H26:H29)</f>
        <v>18236</v>
      </c>
      <c r="I30" s="392"/>
      <c r="J30" s="444">
        <f>SUM(J26:J29)</f>
        <v>18695</v>
      </c>
      <c r="K30" s="303"/>
      <c r="L30" s="566">
        <f>SUM(L26:L29)</f>
        <v>19374</v>
      </c>
      <c r="M30" s="303"/>
      <c r="N30" s="394">
        <v>18761</v>
      </c>
      <c r="O30" s="359"/>
      <c r="P30" s="394">
        <f>SUM(P26:P29)</f>
        <v>17710</v>
      </c>
      <c r="Q30" s="359"/>
      <c r="R30" s="394">
        <f>SUM(R26:R29)</f>
        <v>17176</v>
      </c>
      <c r="S30" s="359"/>
      <c r="T30" s="394">
        <f>SUM(T26:T29)</f>
        <v>19326</v>
      </c>
      <c r="U30" s="359"/>
      <c r="V30" s="394">
        <f>SUM(V26:V29)</f>
        <v>19984</v>
      </c>
      <c r="W30" s="359"/>
      <c r="X30" s="394">
        <f>SUM(X26:X29)</f>
        <v>20849</v>
      </c>
      <c r="Y30" s="359"/>
      <c r="Z30" s="1101">
        <f>SUM(Z26:Z29)</f>
        <v>0</v>
      </c>
      <c r="AB30" s="604"/>
      <c r="AC30" s="808">
        <f t="shared" si="2"/>
        <v>15467</v>
      </c>
    </row>
    <row r="31" spans="1:31" ht="13.5" customHeight="1" thickTop="1" thickBot="1" x14ac:dyDescent="0.25">
      <c r="A31" s="583"/>
      <c r="B31" s="622" t="s">
        <v>136</v>
      </c>
      <c r="C31" s="1141" t="s">
        <v>41</v>
      </c>
      <c r="D31" s="1160"/>
      <c r="E31" s="1141" t="s">
        <v>42</v>
      </c>
      <c r="F31" s="1160"/>
      <c r="G31" s="1145" t="s">
        <v>132</v>
      </c>
      <c r="H31" s="1163"/>
      <c r="I31" s="1145" t="s">
        <v>133</v>
      </c>
      <c r="J31" s="1166"/>
      <c r="K31" s="1145" t="s">
        <v>134</v>
      </c>
      <c r="L31" s="1166"/>
      <c r="M31" s="1149" t="s">
        <v>135</v>
      </c>
      <c r="N31" s="1163"/>
      <c r="O31" s="1135" t="s">
        <v>166</v>
      </c>
      <c r="P31" s="1163"/>
      <c r="Q31" s="1135" t="s">
        <v>170</v>
      </c>
      <c r="R31" s="1163"/>
      <c r="S31" s="1135" t="s">
        <v>177</v>
      </c>
      <c r="T31" s="1163"/>
      <c r="U31" s="1135" t="s">
        <v>180</v>
      </c>
      <c r="V31" s="1163"/>
      <c r="W31" s="1135" t="s">
        <v>184</v>
      </c>
      <c r="X31" s="1163"/>
      <c r="Y31" s="1135" t="s">
        <v>188</v>
      </c>
      <c r="Z31" s="1163"/>
      <c r="AA31" s="672"/>
      <c r="AB31" s="729"/>
      <c r="AC31" s="730"/>
      <c r="AD31" s="438"/>
      <c r="AE31" s="438"/>
    </row>
    <row r="32" spans="1:31" ht="13.5" customHeight="1" x14ac:dyDescent="0.2">
      <c r="A32" s="583"/>
      <c r="B32" s="623" t="s">
        <v>119</v>
      </c>
      <c r="C32" s="1204">
        <v>0.23699999999999999</v>
      </c>
      <c r="D32" s="1205"/>
      <c r="E32" s="1158">
        <v>0.26200000000000001</v>
      </c>
      <c r="F32" s="1206"/>
      <c r="G32" s="1161">
        <v>0.26200000000000001</v>
      </c>
      <c r="H32" s="1200"/>
      <c r="I32" s="1161">
        <v>0.27100000000000002</v>
      </c>
      <c r="J32" s="1200"/>
      <c r="K32" s="643"/>
      <c r="L32" s="640">
        <v>0.27100000000000002</v>
      </c>
      <c r="M32" s="646"/>
      <c r="N32" s="833">
        <v>0.23899999999999999</v>
      </c>
      <c r="O32" s="830"/>
      <c r="P32" s="833">
        <v>0.26</v>
      </c>
      <c r="Q32" s="648"/>
      <c r="R32" s="833">
        <v>0.28999999999999998</v>
      </c>
      <c r="S32" s="648"/>
      <c r="T32" s="833">
        <v>0.28299999999999997</v>
      </c>
      <c r="U32" s="648"/>
      <c r="V32" s="833">
        <v>0.26300000000000001</v>
      </c>
      <c r="W32" s="648"/>
      <c r="X32" s="833">
        <v>0.27300000000000002</v>
      </c>
      <c r="Y32" s="648"/>
      <c r="Z32" s="833">
        <v>0.25800000000000001</v>
      </c>
      <c r="AA32" s="916"/>
      <c r="AB32" s="648"/>
      <c r="AC32" s="670">
        <f t="shared" ref="AC32:AC34" si="3">AVERAGE(X32,V32,T32,R32,Z32)</f>
        <v>0.27339999999999998</v>
      </c>
      <c r="AD32" s="438"/>
      <c r="AE32" s="438"/>
    </row>
    <row r="33" spans="1:31" ht="13.5" customHeight="1" x14ac:dyDescent="0.2">
      <c r="A33" s="583"/>
      <c r="B33" s="624" t="s">
        <v>120</v>
      </c>
      <c r="C33" s="1207">
        <v>0</v>
      </c>
      <c r="D33" s="1206"/>
      <c r="E33" s="1156">
        <v>0</v>
      </c>
      <c r="F33" s="1216"/>
      <c r="G33" s="1172">
        <v>3.0000000000000001E-3</v>
      </c>
      <c r="H33" s="1199"/>
      <c r="I33" s="1172">
        <v>0</v>
      </c>
      <c r="J33" s="1199"/>
      <c r="K33" s="644"/>
      <c r="L33" s="641">
        <v>0</v>
      </c>
      <c r="M33" s="644"/>
      <c r="N33" s="834">
        <v>0</v>
      </c>
      <c r="O33" s="831"/>
      <c r="P33" s="834">
        <v>0</v>
      </c>
      <c r="Q33" s="649"/>
      <c r="R33" s="834">
        <v>1E-3</v>
      </c>
      <c r="S33" s="649"/>
      <c r="T33" s="834">
        <v>0</v>
      </c>
      <c r="U33" s="649"/>
      <c r="V33" s="834">
        <v>0</v>
      </c>
      <c r="W33" s="649"/>
      <c r="X33" s="834">
        <v>0</v>
      </c>
      <c r="Y33" s="649"/>
      <c r="Z33" s="834">
        <v>0</v>
      </c>
      <c r="AA33" s="916"/>
      <c r="AB33" s="649"/>
      <c r="AC33" s="670">
        <f t="shared" si="3"/>
        <v>2.0000000000000001E-4</v>
      </c>
      <c r="AD33" s="438"/>
      <c r="AE33" s="438"/>
    </row>
    <row r="34" spans="1:31" ht="13.5" customHeight="1" thickBot="1" x14ac:dyDescent="0.25">
      <c r="B34" s="647" t="s">
        <v>121</v>
      </c>
      <c r="C34" s="1208">
        <f>1-SUM(C32:D33)</f>
        <v>0.76300000000000001</v>
      </c>
      <c r="D34" s="1209"/>
      <c r="E34" s="1208">
        <f>1-SUM(E32:F33)</f>
        <v>0.73799999999999999</v>
      </c>
      <c r="F34" s="1209"/>
      <c r="G34" s="1208">
        <f>1-SUM(G32:H33)</f>
        <v>0.73499999999999999</v>
      </c>
      <c r="H34" s="1209"/>
      <c r="I34" s="1208">
        <f>1-SUM(I32:J33)</f>
        <v>0.72899999999999998</v>
      </c>
      <c r="J34" s="1209"/>
      <c r="K34" s="1208">
        <f>1-SUM(K32:L33)</f>
        <v>0.72899999999999998</v>
      </c>
      <c r="L34" s="1209"/>
      <c r="M34" s="1208">
        <f>1-SUM(M32:N33)</f>
        <v>0.76100000000000001</v>
      </c>
      <c r="N34" s="1209"/>
      <c r="O34" s="1167">
        <f>1-SUM(O32:P33)</f>
        <v>0.74</v>
      </c>
      <c r="P34" s="1209"/>
      <c r="Q34" s="1225">
        <f>1-R32-R33</f>
        <v>0.70899999999999996</v>
      </c>
      <c r="R34" s="1201"/>
      <c r="S34" s="1225">
        <f>1-T32-T33</f>
        <v>0.71700000000000008</v>
      </c>
      <c r="T34" s="1201"/>
      <c r="U34" s="1225">
        <f>1-V32-V33</f>
        <v>0.73699999999999999</v>
      </c>
      <c r="V34" s="1201"/>
      <c r="W34" s="1225">
        <f>1-X32-X33</f>
        <v>0.72699999999999998</v>
      </c>
      <c r="X34" s="1201"/>
      <c r="Y34" s="1225">
        <f>1-Z32-Z33</f>
        <v>0.74199999999999999</v>
      </c>
      <c r="Z34" s="1201"/>
      <c r="AA34" s="916"/>
      <c r="AB34" s="1208">
        <f t="shared" ref="AB34" si="4">AVERAGE(W34,U34,S34,Q34,Y34)</f>
        <v>0.72640000000000005</v>
      </c>
      <c r="AC34" s="1226" t="e">
        <f t="shared" si="3"/>
        <v>#DIV/0!</v>
      </c>
      <c r="AD34" s="742"/>
      <c r="AE34" s="438"/>
    </row>
    <row r="35" spans="1:31" thickTop="1" x14ac:dyDescent="0.2">
      <c r="B35" s="102"/>
      <c r="C35" s="103"/>
      <c r="D35" s="104"/>
      <c r="E35" s="103"/>
      <c r="F35" s="104"/>
      <c r="G35" s="251"/>
      <c r="H35" s="252"/>
      <c r="I35" s="251"/>
      <c r="J35" s="252"/>
      <c r="K35" s="251"/>
      <c r="L35" s="252"/>
      <c r="M35" s="251"/>
      <c r="N35" s="252"/>
      <c r="O35" s="251"/>
      <c r="P35" s="252"/>
      <c r="Q35" s="251"/>
      <c r="R35" s="252"/>
      <c r="S35" s="251"/>
      <c r="T35" s="252"/>
      <c r="U35" s="251"/>
      <c r="V35" s="252"/>
      <c r="W35" s="251"/>
      <c r="X35" s="252"/>
      <c r="Y35" s="251"/>
      <c r="Z35" s="252"/>
      <c r="AB35" s="650"/>
      <c r="AC35" s="735"/>
    </row>
    <row r="36" spans="1:31" x14ac:dyDescent="0.2">
      <c r="A36" s="105" t="s">
        <v>51</v>
      </c>
      <c r="B36" s="92"/>
      <c r="C36" s="59"/>
      <c r="D36" s="59"/>
      <c r="E36" s="59"/>
      <c r="F36" s="59"/>
      <c r="G36" s="253"/>
      <c r="H36" s="253"/>
      <c r="I36" s="253"/>
      <c r="J36" s="253"/>
      <c r="K36" s="253"/>
      <c r="L36" s="253"/>
      <c r="M36" s="253"/>
      <c r="N36" s="253"/>
      <c r="O36" s="253"/>
      <c r="P36" s="253"/>
      <c r="Q36" s="253"/>
      <c r="R36" s="253"/>
      <c r="S36" s="253"/>
      <c r="T36" s="253"/>
      <c r="U36" s="253"/>
      <c r="V36" s="253"/>
      <c r="W36" s="253"/>
      <c r="X36" s="253"/>
      <c r="Y36" s="253"/>
      <c r="Z36" s="253"/>
      <c r="AB36" s="59"/>
      <c r="AC36" s="59"/>
    </row>
    <row r="37" spans="1:31" ht="13.5" thickBot="1" x14ac:dyDescent="0.25">
      <c r="A37" s="105"/>
      <c r="B37" s="92"/>
      <c r="C37" s="59"/>
      <c r="D37" s="59"/>
      <c r="E37" s="59"/>
      <c r="F37" s="59"/>
      <c r="G37" s="253"/>
      <c r="H37" s="253"/>
      <c r="I37" s="253"/>
      <c r="J37" s="253"/>
      <c r="K37" s="253"/>
      <c r="L37" s="253"/>
      <c r="M37" s="253"/>
      <c r="N37" s="253"/>
      <c r="O37" s="253"/>
      <c r="P37" s="253"/>
      <c r="Q37" s="253"/>
      <c r="R37" s="253" t="s">
        <v>26</v>
      </c>
      <c r="S37" s="253"/>
      <c r="T37" s="253"/>
      <c r="U37" s="253"/>
      <c r="V37" s="253"/>
      <c r="W37" s="253"/>
      <c r="X37" s="253"/>
      <c r="Y37" s="253"/>
      <c r="Z37" s="253"/>
      <c r="AB37" s="12"/>
      <c r="AC37" s="12"/>
    </row>
    <row r="38" spans="1:31" ht="14.25" thickTop="1" thickBot="1" x14ac:dyDescent="0.25">
      <c r="A38" s="3"/>
      <c r="B38" s="867" t="s">
        <v>52</v>
      </c>
      <c r="C38" s="1151" t="s">
        <v>39</v>
      </c>
      <c r="D38" s="1152"/>
      <c r="E38" s="1151" t="s">
        <v>40</v>
      </c>
      <c r="F38" s="1153"/>
      <c r="G38" s="1150" t="s">
        <v>97</v>
      </c>
      <c r="H38" s="1134"/>
      <c r="I38" s="1150" t="s">
        <v>108</v>
      </c>
      <c r="J38" s="1133"/>
      <c r="K38" s="1150" t="s">
        <v>109</v>
      </c>
      <c r="L38" s="1133"/>
      <c r="M38" s="1150" t="s">
        <v>111</v>
      </c>
      <c r="N38" s="1134"/>
      <c r="O38" s="1133" t="s">
        <v>164</v>
      </c>
      <c r="P38" s="1134"/>
      <c r="Q38" s="1133" t="s">
        <v>169</v>
      </c>
      <c r="R38" s="1134"/>
      <c r="S38" s="1133" t="s">
        <v>176</v>
      </c>
      <c r="T38" s="1134"/>
      <c r="U38" s="1133" t="s">
        <v>179</v>
      </c>
      <c r="V38" s="1134"/>
      <c r="W38" s="1133" t="s">
        <v>183</v>
      </c>
      <c r="X38" s="1134"/>
      <c r="Y38" s="1133" t="s">
        <v>187</v>
      </c>
      <c r="Z38" s="1134"/>
      <c r="AA38" s="583"/>
      <c r="AB38" s="1220" t="s">
        <v>118</v>
      </c>
      <c r="AC38" s="1221"/>
    </row>
    <row r="39" spans="1:31" x14ac:dyDescent="0.2">
      <c r="A39" s="3"/>
      <c r="B39" s="868" t="s">
        <v>53</v>
      </c>
      <c r="C39" s="151"/>
      <c r="D39" s="152"/>
      <c r="E39" s="151"/>
      <c r="F39" s="34"/>
      <c r="G39" s="281"/>
      <c r="H39" s="361"/>
      <c r="I39" s="281"/>
      <c r="J39" s="254"/>
      <c r="K39" s="281"/>
      <c r="L39" s="254"/>
      <c r="M39" s="281"/>
      <c r="N39" s="361"/>
      <c r="O39" s="254"/>
      <c r="P39" s="361"/>
      <c r="Q39" s="254"/>
      <c r="R39" s="361"/>
      <c r="S39" s="254"/>
      <c r="T39" s="361"/>
      <c r="U39" s="254"/>
      <c r="V39" s="361"/>
      <c r="W39" s="254"/>
      <c r="X39" s="361"/>
      <c r="Y39" s="254"/>
      <c r="Z39" s="361"/>
      <c r="AA39" s="583"/>
      <c r="AB39" s="683"/>
      <c r="AC39" s="684"/>
    </row>
    <row r="40" spans="1:31" x14ac:dyDescent="0.2">
      <c r="A40" s="3"/>
      <c r="B40" s="869" t="s">
        <v>54</v>
      </c>
      <c r="C40" s="149"/>
      <c r="D40" s="213">
        <v>2193022</v>
      </c>
      <c r="E40" s="149"/>
      <c r="F40" s="220">
        <v>2321476</v>
      </c>
      <c r="G40" s="280"/>
      <c r="H40" s="371">
        <v>2456810</v>
      </c>
      <c r="I40" s="280"/>
      <c r="J40" s="439">
        <v>2429665</v>
      </c>
      <c r="K40" s="280"/>
      <c r="L40" s="439">
        <v>2664251</v>
      </c>
      <c r="M40" s="280"/>
      <c r="N40" s="371">
        <v>2850908</v>
      </c>
      <c r="O40" s="358"/>
      <c r="P40" s="371">
        <v>2759663</v>
      </c>
      <c r="Q40" s="358"/>
      <c r="R40" s="371">
        <v>2809469</v>
      </c>
      <c r="S40" s="358"/>
      <c r="T40" s="371">
        <v>3015211</v>
      </c>
      <c r="U40" s="358"/>
      <c r="V40" s="371">
        <v>3144670</v>
      </c>
      <c r="W40" s="358"/>
      <c r="X40" s="371">
        <v>2799848</v>
      </c>
      <c r="Y40" s="358"/>
      <c r="Z40" s="371">
        <v>2852419</v>
      </c>
      <c r="AA40" s="583"/>
      <c r="AB40" s="34"/>
      <c r="AC40" s="681">
        <f>AVERAGE(X40,V40,T40,R40,Z40)</f>
        <v>2924323.4</v>
      </c>
    </row>
    <row r="41" spans="1:31" hidden="1" x14ac:dyDescent="0.2">
      <c r="A41" s="3"/>
      <c r="B41" s="869" t="s">
        <v>55</v>
      </c>
      <c r="C41" s="151"/>
      <c r="D41" s="214"/>
      <c r="E41" s="151"/>
      <c r="F41" s="221"/>
      <c r="G41" s="281"/>
      <c r="H41" s="372"/>
      <c r="I41" s="281"/>
      <c r="J41" s="440"/>
      <c r="K41" s="281"/>
      <c r="L41" s="440"/>
      <c r="M41" s="281"/>
      <c r="N41" s="372"/>
      <c r="O41" s="254"/>
      <c r="P41" s="372"/>
      <c r="Q41" s="254"/>
      <c r="R41" s="372"/>
      <c r="S41" s="254"/>
      <c r="T41" s="372"/>
      <c r="U41" s="254"/>
      <c r="V41" s="372"/>
      <c r="W41" s="254"/>
      <c r="X41" s="372"/>
      <c r="Y41" s="254"/>
      <c r="Z41" s="372"/>
      <c r="AA41" s="583"/>
      <c r="AC41" s="678"/>
    </row>
    <row r="42" spans="1:31" ht="36" x14ac:dyDescent="0.2">
      <c r="A42" s="3"/>
      <c r="B42" s="870" t="s">
        <v>65</v>
      </c>
      <c r="C42" s="151"/>
      <c r="D42" s="214"/>
      <c r="E42" s="151"/>
      <c r="F42" s="221">
        <v>38727</v>
      </c>
      <c r="G42" s="281"/>
      <c r="H42" s="372">
        <v>38717</v>
      </c>
      <c r="I42" s="281"/>
      <c r="J42" s="440">
        <v>38825</v>
      </c>
      <c r="K42" s="281"/>
      <c r="L42" s="440">
        <v>38799</v>
      </c>
      <c r="M42" s="281"/>
      <c r="N42" s="372">
        <v>252323</v>
      </c>
      <c r="O42" s="254"/>
      <c r="P42" s="372">
        <v>482347</v>
      </c>
      <c r="Q42" s="254"/>
      <c r="R42" s="372">
        <v>324370</v>
      </c>
      <c r="S42" s="254"/>
      <c r="T42" s="372">
        <v>292549</v>
      </c>
      <c r="U42" s="254"/>
      <c r="V42" s="372">
        <v>425048</v>
      </c>
      <c r="W42" s="254"/>
      <c r="X42" s="372">
        <v>421901</v>
      </c>
      <c r="Y42" s="254"/>
      <c r="Z42" s="372">
        <v>443659</v>
      </c>
      <c r="AA42" s="583"/>
      <c r="AB42" s="33"/>
      <c r="AC42" s="681">
        <f t="shared" ref="AC42:AC43" si="5">AVERAGE(X42,V42,T42,R42,Z42)</f>
        <v>381505.4</v>
      </c>
    </row>
    <row r="43" spans="1:31" x14ac:dyDescent="0.2">
      <c r="A43" s="3"/>
      <c r="B43" s="871" t="s">
        <v>56</v>
      </c>
      <c r="C43" s="215"/>
      <c r="D43" s="216">
        <f>SUM(D40:D42)</f>
        <v>2193022</v>
      </c>
      <c r="E43" s="215"/>
      <c r="F43" s="222">
        <f>SUM(F40:F42)</f>
        <v>2360203</v>
      </c>
      <c r="G43" s="284"/>
      <c r="H43" s="373">
        <f>SUM(H40:H42)</f>
        <v>2495527</v>
      </c>
      <c r="I43" s="284"/>
      <c r="J43" s="441">
        <f>SUM(J40:J42)</f>
        <v>2468490</v>
      </c>
      <c r="K43" s="284"/>
      <c r="L43" s="441">
        <f>SUM(L40:L42)</f>
        <v>2703050</v>
      </c>
      <c r="M43" s="284"/>
      <c r="N43" s="373">
        <f>SUM(N40:N42)</f>
        <v>3103231</v>
      </c>
      <c r="O43" s="365"/>
      <c r="P43" s="373">
        <f>SUM(P40:P42)</f>
        <v>3242010</v>
      </c>
      <c r="Q43" s="365"/>
      <c r="R43" s="373">
        <f>SUM(R40:R42)</f>
        <v>3133839</v>
      </c>
      <c r="S43" s="365"/>
      <c r="T43" s="373">
        <f>SUM(T40:T42)</f>
        <v>3307760</v>
      </c>
      <c r="U43" s="365"/>
      <c r="V43" s="373">
        <f>SUM(V40:V42)</f>
        <v>3569718</v>
      </c>
      <c r="W43" s="365"/>
      <c r="X43" s="373">
        <f>SUM(X40:X42)</f>
        <v>3221749</v>
      </c>
      <c r="Y43" s="365"/>
      <c r="Z43" s="373">
        <f>SUM(Z40:Z42)</f>
        <v>3296078</v>
      </c>
      <c r="AA43" s="583"/>
      <c r="AB43" s="34"/>
      <c r="AC43" s="681">
        <f t="shared" si="5"/>
        <v>3305828.8</v>
      </c>
    </row>
    <row r="44" spans="1:31" x14ac:dyDescent="0.2">
      <c r="A44" s="3"/>
      <c r="B44" s="868" t="s">
        <v>57</v>
      </c>
      <c r="C44" s="151"/>
      <c r="D44" s="214"/>
      <c r="E44" s="151"/>
      <c r="F44" s="221"/>
      <c r="G44" s="281"/>
      <c r="H44" s="372"/>
      <c r="I44" s="281"/>
      <c r="J44" s="440"/>
      <c r="K44" s="281"/>
      <c r="L44" s="440"/>
      <c r="M44" s="281"/>
      <c r="N44" s="372"/>
      <c r="O44" s="254"/>
      <c r="P44" s="372"/>
      <c r="Q44" s="254"/>
      <c r="R44" s="372"/>
      <c r="S44" s="254"/>
      <c r="T44" s="372"/>
      <c r="U44" s="254"/>
      <c r="V44" s="372"/>
      <c r="W44" s="254"/>
      <c r="X44" s="372"/>
      <c r="Y44" s="254"/>
      <c r="Z44" s="372"/>
      <c r="AA44" s="583"/>
      <c r="AC44" s="678"/>
    </row>
    <row r="45" spans="1:31" x14ac:dyDescent="0.2">
      <c r="A45" s="3"/>
      <c r="B45" s="869" t="s">
        <v>54</v>
      </c>
      <c r="C45" s="151"/>
      <c r="D45" s="214"/>
      <c r="E45" s="151"/>
      <c r="F45" s="221"/>
      <c r="G45" s="281"/>
      <c r="H45" s="372"/>
      <c r="I45" s="281"/>
      <c r="J45" s="440"/>
      <c r="K45" s="281"/>
      <c r="L45" s="440"/>
      <c r="M45" s="281"/>
      <c r="N45" s="372"/>
      <c r="O45" s="254"/>
      <c r="P45" s="372"/>
      <c r="Q45" s="254"/>
      <c r="R45" s="372"/>
      <c r="S45" s="254"/>
      <c r="T45" s="372"/>
      <c r="U45" s="254"/>
      <c r="V45" s="372"/>
      <c r="W45" s="254"/>
      <c r="X45" s="372"/>
      <c r="Y45" s="254"/>
      <c r="Z45" s="372"/>
      <c r="AA45" s="583"/>
      <c r="AC45" s="678"/>
    </row>
    <row r="46" spans="1:31" hidden="1" x14ac:dyDescent="0.2">
      <c r="A46" s="3"/>
      <c r="B46" s="869" t="s">
        <v>58</v>
      </c>
      <c r="C46" s="151"/>
      <c r="D46" s="214"/>
      <c r="E46" s="151"/>
      <c r="F46" s="221"/>
      <c r="G46" s="281"/>
      <c r="H46" s="372"/>
      <c r="I46" s="281"/>
      <c r="J46" s="440"/>
      <c r="K46" s="281"/>
      <c r="L46" s="440"/>
      <c r="M46" s="281"/>
      <c r="N46" s="372"/>
      <c r="O46" s="254"/>
      <c r="P46" s="372"/>
      <c r="Q46" s="254"/>
      <c r="R46" s="372"/>
      <c r="S46" s="254"/>
      <c r="T46" s="372"/>
      <c r="U46" s="254"/>
      <c r="V46" s="372"/>
      <c r="W46" s="254"/>
      <c r="X46" s="372"/>
      <c r="Y46" s="254"/>
      <c r="Z46" s="372"/>
      <c r="AA46" s="583"/>
      <c r="AC46" s="678"/>
    </row>
    <row r="47" spans="1:31" ht="36" x14ac:dyDescent="0.2">
      <c r="A47" s="3"/>
      <c r="B47" s="870" t="s">
        <v>65</v>
      </c>
      <c r="C47" s="151"/>
      <c r="D47" s="214"/>
      <c r="E47" s="151"/>
      <c r="F47" s="221"/>
      <c r="G47" s="281"/>
      <c r="H47" s="372"/>
      <c r="I47" s="281"/>
      <c r="J47" s="440"/>
      <c r="K47" s="281"/>
      <c r="L47" s="440"/>
      <c r="M47" s="281"/>
      <c r="N47" s="372"/>
      <c r="O47" s="254"/>
      <c r="P47" s="372"/>
      <c r="Q47" s="254"/>
      <c r="R47" s="372"/>
      <c r="S47" s="254"/>
      <c r="T47" s="372"/>
      <c r="U47" s="254"/>
      <c r="V47" s="372"/>
      <c r="W47" s="254"/>
      <c r="X47" s="372"/>
      <c r="Y47" s="254"/>
      <c r="Z47" s="372"/>
      <c r="AA47" s="583"/>
      <c r="AB47" s="33"/>
      <c r="AC47" s="682"/>
    </row>
    <row r="48" spans="1:31" x14ac:dyDescent="0.2">
      <c r="A48" s="3"/>
      <c r="B48" s="871" t="s">
        <v>59</v>
      </c>
      <c r="C48" s="215"/>
      <c r="D48" s="216">
        <f>SUM(D45:D47)</f>
        <v>0</v>
      </c>
      <c r="E48" s="215"/>
      <c r="F48" s="222">
        <f>SUM(F45:F47)</f>
        <v>0</v>
      </c>
      <c r="G48" s="284"/>
      <c r="H48" s="373">
        <f>SUM(H45:H47)</f>
        <v>0</v>
      </c>
      <c r="I48" s="284"/>
      <c r="J48" s="441">
        <f>SUM(J45:J47)</f>
        <v>0</v>
      </c>
      <c r="K48" s="284"/>
      <c r="L48" s="441">
        <f>SUM(L45:L47)</f>
        <v>0</v>
      </c>
      <c r="M48" s="284"/>
      <c r="N48" s="373">
        <f>SUM(N45:N47)</f>
        <v>0</v>
      </c>
      <c r="O48" s="365"/>
      <c r="P48" s="373">
        <f>SUM(P45:P47)</f>
        <v>0</v>
      </c>
      <c r="Q48" s="365"/>
      <c r="R48" s="373">
        <f>SUM(R45:R47)</f>
        <v>0</v>
      </c>
      <c r="S48" s="365"/>
      <c r="T48" s="373">
        <f>SUM(T45:T47)</f>
        <v>0</v>
      </c>
      <c r="U48" s="365"/>
      <c r="V48" s="373">
        <f>SUM(V45:V47)</f>
        <v>0</v>
      </c>
      <c r="W48" s="365"/>
      <c r="X48" s="373">
        <f>SUM(X45:X47)</f>
        <v>0</v>
      </c>
      <c r="Y48" s="365"/>
      <c r="Z48" s="373">
        <f>SUM(Z45:Z47)</f>
        <v>0</v>
      </c>
      <c r="AA48" s="583"/>
      <c r="AB48" s="34"/>
      <c r="AC48" s="681">
        <f t="shared" ref="AC48" si="6">AVERAGE(X48,V48,T48,R48,P48)</f>
        <v>0</v>
      </c>
    </row>
    <row r="49" spans="1:29" ht="13.5" thickBot="1" x14ac:dyDescent="0.25">
      <c r="A49" s="3"/>
      <c r="B49" s="872" t="s">
        <v>60</v>
      </c>
      <c r="C49" s="151"/>
      <c r="D49" s="216">
        <f>SUM(D43,D48)</f>
        <v>2193022</v>
      </c>
      <c r="E49" s="151"/>
      <c r="F49" s="222">
        <f>SUM(F43,F48)</f>
        <v>2360203</v>
      </c>
      <c r="G49" s="281"/>
      <c r="H49" s="373">
        <f>SUM(H43,H48)</f>
        <v>2495527</v>
      </c>
      <c r="I49" s="281"/>
      <c r="J49" s="441">
        <f>SUM(J43,J48)</f>
        <v>2468490</v>
      </c>
      <c r="K49" s="281"/>
      <c r="L49" s="441">
        <f>SUM(L43,L48)</f>
        <v>2703050</v>
      </c>
      <c r="M49" s="281"/>
      <c r="N49" s="373">
        <f>SUM(N43,N48)</f>
        <v>3103231</v>
      </c>
      <c r="O49" s="254"/>
      <c r="P49" s="373">
        <f>SUM(P43,P48)</f>
        <v>3242010</v>
      </c>
      <c r="Q49" s="254"/>
      <c r="R49" s="373">
        <f>SUM(R43,R48)</f>
        <v>3133839</v>
      </c>
      <c r="S49" s="254"/>
      <c r="T49" s="373">
        <f>SUM(T43,T48)</f>
        <v>3307760</v>
      </c>
      <c r="U49" s="254"/>
      <c r="V49" s="373">
        <f>SUM(V43,V48)</f>
        <v>3569718</v>
      </c>
      <c r="W49" s="254"/>
      <c r="X49" s="373">
        <f>SUM(X43,X48)</f>
        <v>3221749</v>
      </c>
      <c r="Y49" s="254"/>
      <c r="Z49" s="373">
        <f>SUM(Z43,Z48)</f>
        <v>3296078</v>
      </c>
      <c r="AB49" s="679"/>
      <c r="AC49" s="680">
        <f>AVERAGE(X49,V49,T49,R49,Z49)</f>
        <v>3305828.8</v>
      </c>
    </row>
    <row r="50" spans="1:29" ht="12" x14ac:dyDescent="0.2">
      <c r="B50" s="873" t="s">
        <v>173</v>
      </c>
      <c r="C50" s="218"/>
      <c r="D50" s="219"/>
      <c r="E50" s="218"/>
      <c r="F50" s="109"/>
      <c r="G50" s="285"/>
      <c r="H50" s="374"/>
      <c r="I50" s="285"/>
      <c r="J50" s="366"/>
      <c r="K50" s="285"/>
      <c r="L50" s="366"/>
      <c r="M50" s="285"/>
      <c r="N50" s="374"/>
      <c r="O50" s="366"/>
      <c r="P50" s="374"/>
      <c r="Q50" s="366"/>
      <c r="R50" s="374"/>
      <c r="S50" s="366"/>
      <c r="T50" s="374"/>
      <c r="U50" s="366"/>
      <c r="V50" s="374"/>
      <c r="W50" s="366"/>
      <c r="X50" s="374"/>
      <c r="Y50" s="366"/>
      <c r="Z50" s="374"/>
      <c r="AB50" s="683"/>
      <c r="AC50" s="684"/>
    </row>
    <row r="51" spans="1:29" ht="12" x14ac:dyDescent="0.2">
      <c r="B51" s="49" t="s">
        <v>13</v>
      </c>
      <c r="C51" s="165"/>
      <c r="D51" s="166">
        <f>235789+2049132</f>
        <v>2284921</v>
      </c>
      <c r="E51" s="151"/>
      <c r="F51" s="343">
        <v>2600169</v>
      </c>
      <c r="G51" s="281"/>
      <c r="H51" s="423">
        <v>2745454.45</v>
      </c>
      <c r="I51" s="254"/>
      <c r="J51" s="343">
        <v>2690402.59</v>
      </c>
      <c r="K51" s="281"/>
      <c r="L51" s="424">
        <f>2719541+33+5367</f>
        <v>2724941</v>
      </c>
      <c r="M51" s="281"/>
      <c r="N51" s="423">
        <v>3238002</v>
      </c>
      <c r="O51" s="254"/>
      <c r="P51" s="423">
        <v>3044516</v>
      </c>
      <c r="Q51" s="411"/>
      <c r="R51" s="423">
        <v>3017206</v>
      </c>
      <c r="S51" s="411"/>
      <c r="T51" s="423">
        <v>3537780</v>
      </c>
      <c r="U51" s="411"/>
      <c r="V51" s="423">
        <v>3334563</v>
      </c>
      <c r="W51" s="411"/>
      <c r="X51" s="423">
        <v>3424607.39</v>
      </c>
      <c r="Y51" s="411"/>
      <c r="Z51" s="921"/>
      <c r="AB51" s="677"/>
      <c r="AC51" s="685">
        <f>AVERAGE(X51,V51,T51,R51,P51)</f>
        <v>3271734.4780000001</v>
      </c>
    </row>
    <row r="52" spans="1:29" thickBot="1" x14ac:dyDescent="0.25">
      <c r="B52" s="877" t="s">
        <v>14</v>
      </c>
      <c r="C52" s="167"/>
      <c r="D52" s="168">
        <v>44049</v>
      </c>
      <c r="E52" s="223"/>
      <c r="F52" s="344">
        <v>5918</v>
      </c>
      <c r="G52" s="316"/>
      <c r="H52" s="781">
        <v>0</v>
      </c>
      <c r="I52" s="395"/>
      <c r="J52" s="344">
        <v>0</v>
      </c>
      <c r="K52" s="316"/>
      <c r="L52" s="782">
        <v>0</v>
      </c>
      <c r="M52" s="316"/>
      <c r="N52" s="781">
        <v>0</v>
      </c>
      <c r="O52" s="395"/>
      <c r="P52" s="781">
        <v>0</v>
      </c>
      <c r="Q52" s="969"/>
      <c r="R52" s="781">
        <v>0</v>
      </c>
      <c r="S52" s="969"/>
      <c r="T52" s="781">
        <v>0</v>
      </c>
      <c r="U52" s="969"/>
      <c r="V52" s="781">
        <v>0</v>
      </c>
      <c r="W52" s="969"/>
      <c r="X52" s="781">
        <v>0</v>
      </c>
      <c r="Y52" s="969"/>
      <c r="Z52" s="922"/>
      <c r="AB52" s="679"/>
      <c r="AC52" s="777">
        <f>AVERAGE(X52,V52,T52,R52,P52)</f>
        <v>0</v>
      </c>
    </row>
    <row r="53" spans="1:29" ht="12" x14ac:dyDescent="0.2">
      <c r="B53" s="992"/>
      <c r="C53" s="169" t="s">
        <v>89</v>
      </c>
      <c r="D53" s="226" t="s">
        <v>96</v>
      </c>
      <c r="E53" s="169" t="s">
        <v>89</v>
      </c>
      <c r="F53" s="55" t="s">
        <v>96</v>
      </c>
      <c r="G53" s="288" t="s">
        <v>89</v>
      </c>
      <c r="H53" s="396" t="s">
        <v>96</v>
      </c>
      <c r="I53" s="255" t="s">
        <v>89</v>
      </c>
      <c r="J53" s="445" t="s">
        <v>96</v>
      </c>
      <c r="K53" s="288" t="s">
        <v>89</v>
      </c>
      <c r="L53" s="445" t="s">
        <v>96</v>
      </c>
      <c r="M53" s="288" t="s">
        <v>89</v>
      </c>
      <c r="N53" s="396" t="s">
        <v>96</v>
      </c>
      <c r="O53" s="255" t="s">
        <v>89</v>
      </c>
      <c r="P53" s="396" t="s">
        <v>96</v>
      </c>
      <c r="Q53" s="255" t="s">
        <v>89</v>
      </c>
      <c r="R53" s="396" t="s">
        <v>96</v>
      </c>
      <c r="S53" s="255" t="s">
        <v>89</v>
      </c>
      <c r="T53" s="396" t="s">
        <v>96</v>
      </c>
      <c r="U53" s="255" t="s">
        <v>89</v>
      </c>
      <c r="V53" s="396" t="s">
        <v>96</v>
      </c>
      <c r="W53" s="255" t="s">
        <v>89</v>
      </c>
      <c r="X53" s="396" t="s">
        <v>96</v>
      </c>
      <c r="Y53" s="255" t="s">
        <v>89</v>
      </c>
      <c r="Z53" s="396" t="s">
        <v>96</v>
      </c>
      <c r="AB53" s="736" t="s">
        <v>89</v>
      </c>
      <c r="AC53" s="256" t="s">
        <v>96</v>
      </c>
    </row>
    <row r="54" spans="1:29" ht="11.45" customHeight="1" x14ac:dyDescent="0.2">
      <c r="B54" s="52" t="s">
        <v>47</v>
      </c>
      <c r="C54" s="698">
        <v>4</v>
      </c>
      <c r="D54" s="473">
        <v>822396</v>
      </c>
      <c r="E54" s="907">
        <v>9</v>
      </c>
      <c r="F54" s="227">
        <v>1308921</v>
      </c>
      <c r="G54" s="701">
        <v>3</v>
      </c>
      <c r="H54" s="464">
        <v>237017</v>
      </c>
      <c r="I54" s="783">
        <v>8</v>
      </c>
      <c r="J54" s="462">
        <v>1290178</v>
      </c>
      <c r="K54" s="701">
        <v>5</v>
      </c>
      <c r="L54" s="464">
        <v>243823</v>
      </c>
      <c r="M54" s="576">
        <v>0</v>
      </c>
      <c r="N54" s="464">
        <v>0</v>
      </c>
      <c r="O54" s="576">
        <v>3</v>
      </c>
      <c r="P54" s="464">
        <v>237691</v>
      </c>
      <c r="Q54" s="576">
        <v>1</v>
      </c>
      <c r="R54" s="464">
        <v>2050309</v>
      </c>
      <c r="S54" s="576">
        <v>0</v>
      </c>
      <c r="T54" s="464">
        <v>0</v>
      </c>
      <c r="U54" s="576">
        <v>1</v>
      </c>
      <c r="V54" s="464">
        <v>209995</v>
      </c>
      <c r="W54" s="576">
        <v>0</v>
      </c>
      <c r="X54" s="464">
        <v>0</v>
      </c>
      <c r="Y54" s="841"/>
      <c r="Z54" s="923"/>
      <c r="AB54" s="723">
        <f t="shared" ref="AB54:AC54" si="7">AVERAGE(W54,U54,S54,Q54,Y54)</f>
        <v>0.5</v>
      </c>
      <c r="AC54" s="724">
        <f t="shared" si="7"/>
        <v>565076</v>
      </c>
    </row>
    <row r="55" spans="1:29" ht="11.45" customHeight="1" x14ac:dyDescent="0.2">
      <c r="B55" s="52"/>
      <c r="C55" s="705"/>
      <c r="D55" s="173"/>
      <c r="E55" s="908"/>
      <c r="F55" s="228"/>
      <c r="G55" s="709"/>
      <c r="H55" s="555"/>
      <c r="I55" s="455"/>
      <c r="J55" s="463"/>
      <c r="K55" s="709"/>
      <c r="L55" s="578"/>
      <c r="M55" s="817"/>
      <c r="N55" s="465"/>
      <c r="O55" s="817"/>
      <c r="P55" s="465"/>
      <c r="Q55" s="817"/>
      <c r="R55" s="465"/>
      <c r="S55" s="817"/>
      <c r="T55" s="465"/>
      <c r="U55" s="817"/>
      <c r="V55" s="465"/>
      <c r="W55" s="817"/>
      <c r="X55" s="465"/>
      <c r="Y55" s="842"/>
      <c r="Z55" s="577"/>
      <c r="AB55" s="725"/>
      <c r="AC55" s="726"/>
    </row>
    <row r="56" spans="1:29" thickBot="1" x14ac:dyDescent="0.25">
      <c r="B56" s="880" t="s">
        <v>15</v>
      </c>
      <c r="C56" s="714">
        <v>1</v>
      </c>
      <c r="D56" s="185">
        <v>38500</v>
      </c>
      <c r="E56" s="909">
        <v>1</v>
      </c>
      <c r="F56" s="322">
        <v>20650</v>
      </c>
      <c r="G56" s="718">
        <v>2</v>
      </c>
      <c r="H56" s="472">
        <v>13050</v>
      </c>
      <c r="I56" s="720">
        <v>3</v>
      </c>
      <c r="J56" s="461">
        <v>329500</v>
      </c>
      <c r="K56" s="718">
        <v>0</v>
      </c>
      <c r="L56" s="461">
        <v>0</v>
      </c>
      <c r="M56" s="718">
        <v>2</v>
      </c>
      <c r="N56" s="459">
        <v>26213</v>
      </c>
      <c r="O56" s="718">
        <v>2</v>
      </c>
      <c r="P56" s="459">
        <v>228749</v>
      </c>
      <c r="Q56" s="718">
        <v>3</v>
      </c>
      <c r="R56" s="459">
        <v>38772</v>
      </c>
      <c r="S56" s="718">
        <v>2</v>
      </c>
      <c r="T56" s="459">
        <v>38002</v>
      </c>
      <c r="U56" s="718">
        <v>1</v>
      </c>
      <c r="V56" s="459">
        <v>5000</v>
      </c>
      <c r="W56" s="718">
        <v>1</v>
      </c>
      <c r="X56" s="459">
        <v>1000</v>
      </c>
      <c r="Y56" s="843"/>
      <c r="Z56" s="924"/>
      <c r="AB56" s="727">
        <f t="shared" ref="AB56:AC56" si="8">AVERAGE(W56,U56,S56,Q56,Y56)</f>
        <v>1.75</v>
      </c>
      <c r="AC56" s="728">
        <f t="shared" si="8"/>
        <v>20693.5</v>
      </c>
    </row>
    <row r="57" spans="1:29" ht="12" x14ac:dyDescent="0.2">
      <c r="B57" s="873" t="s">
        <v>66</v>
      </c>
      <c r="C57" s="175"/>
      <c r="D57" s="186"/>
      <c r="E57" s="474"/>
      <c r="F57" s="283"/>
      <c r="G57" s="289"/>
      <c r="H57" s="376"/>
      <c r="I57" s="368"/>
      <c r="J57" s="433"/>
      <c r="K57" s="289"/>
      <c r="L57" s="433"/>
      <c r="M57" s="289"/>
      <c r="N57" s="376"/>
      <c r="O57" s="368"/>
      <c r="P57" s="376"/>
      <c r="Q57" s="368"/>
      <c r="R57" s="376"/>
      <c r="S57" s="368"/>
      <c r="T57" s="376"/>
      <c r="U57" s="368"/>
      <c r="V57" s="376"/>
      <c r="W57" s="368"/>
      <c r="X57" s="376"/>
      <c r="Y57" s="368"/>
      <c r="Z57" s="376"/>
      <c r="AA57" s="583"/>
      <c r="AC57" s="583"/>
    </row>
    <row r="58" spans="1:29" ht="12" x14ac:dyDescent="0.2">
      <c r="B58" s="881" t="s">
        <v>67</v>
      </c>
      <c r="C58" s="177"/>
      <c r="D58" s="187"/>
      <c r="E58" s="177"/>
      <c r="F58" s="61"/>
      <c r="G58" s="290"/>
      <c r="H58" s="377"/>
      <c r="I58" s="257"/>
      <c r="J58" s="250"/>
      <c r="K58" s="290"/>
      <c r="L58" s="250"/>
      <c r="M58" s="290"/>
      <c r="N58" s="377"/>
      <c r="O58" s="257"/>
      <c r="P58" s="377"/>
      <c r="Q58" s="257"/>
      <c r="R58" s="377"/>
      <c r="S58" s="257"/>
      <c r="T58" s="377"/>
      <c r="U58" s="257"/>
      <c r="V58" s="377"/>
      <c r="W58" s="257"/>
      <c r="X58" s="377"/>
      <c r="Y58" s="257"/>
      <c r="Z58" s="377"/>
      <c r="AA58" s="583"/>
      <c r="AC58" s="583"/>
    </row>
    <row r="59" spans="1:29" ht="12" x14ac:dyDescent="0.2">
      <c r="B59" s="894" t="s">
        <v>68</v>
      </c>
      <c r="C59" s="178"/>
      <c r="D59" s="188">
        <v>26525</v>
      </c>
      <c r="E59" s="178"/>
      <c r="F59" s="307">
        <v>33637</v>
      </c>
      <c r="G59" s="291"/>
      <c r="H59" s="487">
        <v>48875</v>
      </c>
      <c r="I59" s="369"/>
      <c r="J59" s="502">
        <v>35337</v>
      </c>
      <c r="K59" s="500"/>
      <c r="L59" s="559">
        <v>61180.800000000003</v>
      </c>
      <c r="M59" s="500"/>
      <c r="N59" s="839">
        <v>146600</v>
      </c>
      <c r="O59" s="813"/>
      <c r="P59" s="839">
        <v>151678</v>
      </c>
      <c r="Q59" s="813"/>
      <c r="R59" s="839">
        <v>172490</v>
      </c>
      <c r="S59" s="813"/>
      <c r="T59" s="839">
        <v>135105</v>
      </c>
      <c r="U59" s="813"/>
      <c r="V59" s="839">
        <v>175402.5</v>
      </c>
      <c r="W59" s="813"/>
      <c r="X59" s="839">
        <v>124075</v>
      </c>
      <c r="Y59" s="813"/>
      <c r="Z59" s="1037"/>
      <c r="AA59" s="583"/>
      <c r="AB59" s="33"/>
      <c r="AC59" s="687">
        <f t="shared" ref="AC59:AC60" si="9">AVERAGE(X59,V59,T59,R59,P59)</f>
        <v>151750.1</v>
      </c>
    </row>
    <row r="60" spans="1:29" thickBot="1" x14ac:dyDescent="0.25">
      <c r="B60" s="895" t="s">
        <v>69</v>
      </c>
      <c r="C60" s="180"/>
      <c r="D60" s="486">
        <v>0</v>
      </c>
      <c r="E60" s="180"/>
      <c r="F60" s="330">
        <v>0</v>
      </c>
      <c r="G60" s="292"/>
      <c r="H60" s="486">
        <v>0</v>
      </c>
      <c r="I60" s="370"/>
      <c r="J60" s="505">
        <v>0</v>
      </c>
      <c r="K60" s="501"/>
      <c r="L60" s="505">
        <v>0</v>
      </c>
      <c r="M60" s="501"/>
      <c r="N60" s="840">
        <v>0</v>
      </c>
      <c r="O60" s="814"/>
      <c r="P60" s="840">
        <v>0</v>
      </c>
      <c r="Q60" s="814"/>
      <c r="R60" s="840">
        <v>0</v>
      </c>
      <c r="S60" s="814"/>
      <c r="T60" s="840">
        <v>0</v>
      </c>
      <c r="U60" s="814"/>
      <c r="V60" s="840">
        <v>0</v>
      </c>
      <c r="W60" s="814"/>
      <c r="X60" s="840">
        <v>0</v>
      </c>
      <c r="Y60" s="814"/>
      <c r="Z60" s="1038"/>
      <c r="AA60" s="583"/>
      <c r="AB60" s="12"/>
      <c r="AC60" s="686">
        <f t="shared" si="9"/>
        <v>0</v>
      </c>
    </row>
    <row r="61" spans="1:29" thickTop="1" x14ac:dyDescent="0.2">
      <c r="B61" s="92"/>
      <c r="C61" s="39"/>
      <c r="D61" s="94"/>
      <c r="E61" s="39"/>
      <c r="F61" s="61"/>
      <c r="G61" s="257"/>
      <c r="H61" s="250"/>
      <c r="I61" s="257"/>
      <c r="J61" s="250"/>
      <c r="K61" s="257"/>
      <c r="L61" s="250"/>
      <c r="M61" s="257"/>
      <c r="N61" s="250"/>
      <c r="O61" s="257"/>
      <c r="P61" s="250"/>
      <c r="Q61" s="257"/>
      <c r="R61" s="250"/>
      <c r="S61" s="257"/>
      <c r="T61" s="250"/>
      <c r="U61" s="257"/>
      <c r="V61" s="250"/>
      <c r="W61" s="257"/>
      <c r="X61" s="250"/>
      <c r="Y61" s="257"/>
      <c r="Z61" s="250"/>
      <c r="AC61" s="605"/>
    </row>
    <row r="62" spans="1:29" x14ac:dyDescent="0.2">
      <c r="A62" s="3" t="s">
        <v>62</v>
      </c>
      <c r="B62" s="92"/>
      <c r="C62" s="39"/>
      <c r="D62" s="94"/>
      <c r="E62" s="39"/>
      <c r="F62" s="61"/>
      <c r="G62" s="257"/>
      <c r="H62" s="250"/>
      <c r="I62" s="257"/>
      <c r="J62" s="250"/>
      <c r="K62" s="257"/>
      <c r="L62" s="250"/>
      <c r="M62" s="257"/>
      <c r="N62" s="250"/>
      <c r="O62" s="257"/>
      <c r="P62" s="250"/>
      <c r="Q62" s="257"/>
      <c r="R62" s="250"/>
      <c r="S62" s="257"/>
      <c r="T62" s="250"/>
      <c r="U62" s="257"/>
      <c r="V62" s="250"/>
      <c r="W62" s="257"/>
      <c r="X62" s="250"/>
      <c r="Y62" s="257"/>
      <c r="Z62" s="250"/>
      <c r="AC62" s="59"/>
    </row>
    <row r="63" spans="1:29" thickBot="1" x14ac:dyDescent="0.25">
      <c r="B63" s="92"/>
      <c r="C63" s="39"/>
      <c r="D63" s="94"/>
      <c r="E63" s="39"/>
      <c r="F63" s="61"/>
      <c r="G63" s="257"/>
      <c r="H63" s="250"/>
      <c r="I63" s="257"/>
      <c r="J63" s="250"/>
      <c r="K63" s="257"/>
      <c r="L63" s="250"/>
      <c r="M63" s="257"/>
      <c r="N63" s="250"/>
      <c r="O63" s="257"/>
      <c r="P63" s="250"/>
      <c r="Q63" s="257"/>
      <c r="R63" s="250"/>
      <c r="S63" s="257"/>
      <c r="T63" s="250"/>
      <c r="U63" s="257"/>
      <c r="V63" s="250"/>
      <c r="W63" s="257"/>
      <c r="X63" s="250"/>
      <c r="Y63" s="257"/>
      <c r="Z63" s="250"/>
      <c r="AB63" s="12"/>
      <c r="AC63" s="12"/>
    </row>
    <row r="64" spans="1:29" ht="13.5" thickTop="1" thickBot="1" x14ac:dyDescent="0.25">
      <c r="B64" s="866"/>
      <c r="C64" s="1151" t="s">
        <v>39</v>
      </c>
      <c r="D64" s="1152"/>
      <c r="E64" s="1153" t="s">
        <v>40</v>
      </c>
      <c r="F64" s="1153"/>
      <c r="G64" s="1150" t="s">
        <v>97</v>
      </c>
      <c r="H64" s="1134"/>
      <c r="I64" s="1133" t="s">
        <v>97</v>
      </c>
      <c r="J64" s="1133"/>
      <c r="K64" s="1150" t="s">
        <v>109</v>
      </c>
      <c r="L64" s="1133"/>
      <c r="M64" s="1150" t="s">
        <v>111</v>
      </c>
      <c r="N64" s="1134"/>
      <c r="O64" s="1133" t="s">
        <v>164</v>
      </c>
      <c r="P64" s="1134"/>
      <c r="Q64" s="1133" t="s">
        <v>169</v>
      </c>
      <c r="R64" s="1134"/>
      <c r="S64" s="1133" t="s">
        <v>176</v>
      </c>
      <c r="T64" s="1134"/>
      <c r="U64" s="1133" t="s">
        <v>179</v>
      </c>
      <c r="V64" s="1134"/>
      <c r="W64" s="1133" t="s">
        <v>183</v>
      </c>
      <c r="X64" s="1134"/>
      <c r="Y64" s="1133" t="s">
        <v>187</v>
      </c>
      <c r="Z64" s="1134"/>
      <c r="AB64" s="1197" t="s">
        <v>118</v>
      </c>
      <c r="AC64" s="1222"/>
    </row>
    <row r="65" spans="2:29" ht="12" x14ac:dyDescent="0.2">
      <c r="B65" s="45" t="s">
        <v>43</v>
      </c>
      <c r="C65" s="149"/>
      <c r="D65" s="150"/>
      <c r="E65" s="33"/>
      <c r="F65" s="33"/>
      <c r="G65" s="280"/>
      <c r="H65" s="360"/>
      <c r="I65" s="358"/>
      <c r="J65" s="358"/>
      <c r="K65" s="280"/>
      <c r="L65" s="358"/>
      <c r="M65" s="280"/>
      <c r="N65" s="360"/>
      <c r="O65" s="358"/>
      <c r="P65" s="360"/>
      <c r="Q65" s="358"/>
      <c r="R65" s="360"/>
      <c r="S65" s="358"/>
      <c r="T65" s="360"/>
      <c r="U65" s="358"/>
      <c r="V65" s="360"/>
      <c r="W65" s="358"/>
      <c r="X65" s="360"/>
      <c r="Y65" s="358"/>
      <c r="Z65" s="360"/>
      <c r="AA65" s="583"/>
      <c r="AC65" s="583"/>
    </row>
    <row r="66" spans="2:29" ht="12" x14ac:dyDescent="0.2">
      <c r="B66" s="46" t="s">
        <v>44</v>
      </c>
      <c r="C66" s="151"/>
      <c r="D66" s="191"/>
      <c r="E66" s="34"/>
      <c r="F66" s="117"/>
      <c r="G66" s="281"/>
      <c r="H66" s="383"/>
      <c r="I66" s="254"/>
      <c r="J66" s="259"/>
      <c r="K66" s="281"/>
      <c r="L66" s="259"/>
      <c r="M66" s="281"/>
      <c r="N66" s="383"/>
      <c r="O66" s="254"/>
      <c r="P66" s="383"/>
      <c r="Q66" s="254"/>
      <c r="R66" s="383"/>
      <c r="S66" s="254"/>
      <c r="T66" s="383"/>
      <c r="U66" s="254"/>
      <c r="V66" s="383"/>
      <c r="W66" s="254"/>
      <c r="X66" s="383"/>
      <c r="Y66" s="254"/>
      <c r="Z66" s="383"/>
      <c r="AA66" s="583"/>
      <c r="AC66" s="583"/>
    </row>
    <row r="67" spans="2:29" ht="12" x14ac:dyDescent="0.2">
      <c r="B67" s="47" t="s">
        <v>45</v>
      </c>
      <c r="C67" s="151"/>
      <c r="D67" s="191">
        <v>21</v>
      </c>
      <c r="E67" s="34"/>
      <c r="F67" s="117">
        <v>22</v>
      </c>
      <c r="G67" s="281"/>
      <c r="H67" s="383">
        <v>20</v>
      </c>
      <c r="I67" s="254"/>
      <c r="J67" s="259">
        <v>21</v>
      </c>
      <c r="K67" s="281"/>
      <c r="L67" s="259">
        <v>21</v>
      </c>
      <c r="M67" s="281"/>
      <c r="N67" s="383">
        <v>23</v>
      </c>
      <c r="O67" s="254"/>
      <c r="P67" s="383">
        <v>22</v>
      </c>
      <c r="Q67" s="254"/>
      <c r="R67" s="383">
        <v>22</v>
      </c>
      <c r="S67" s="254"/>
      <c r="T67" s="383">
        <v>24</v>
      </c>
      <c r="U67" s="254"/>
      <c r="V67" s="383">
        <v>24</v>
      </c>
      <c r="W67" s="254"/>
      <c r="X67" s="383">
        <v>21</v>
      </c>
      <c r="Y67" s="254"/>
      <c r="Z67" s="383">
        <v>22</v>
      </c>
      <c r="AA67" s="583"/>
      <c r="AC67" s="601">
        <f t="shared" ref="AC67:AC68" si="10">AVERAGE(X67,V67,T67,R67,Z67)</f>
        <v>22.6</v>
      </c>
    </row>
    <row r="68" spans="2:29" ht="12" x14ac:dyDescent="0.2">
      <c r="B68" s="47" t="s">
        <v>144</v>
      </c>
      <c r="C68" s="151"/>
      <c r="D68" s="191">
        <v>4</v>
      </c>
      <c r="E68" s="34"/>
      <c r="F68" s="117">
        <v>4</v>
      </c>
      <c r="G68" s="281"/>
      <c r="H68" s="383">
        <v>5</v>
      </c>
      <c r="I68" s="254"/>
      <c r="J68" s="259">
        <v>6</v>
      </c>
      <c r="K68" s="281"/>
      <c r="L68" s="259">
        <v>6</v>
      </c>
      <c r="M68" s="281"/>
      <c r="N68" s="383">
        <v>4</v>
      </c>
      <c r="O68" s="254"/>
      <c r="P68" s="383">
        <v>5</v>
      </c>
      <c r="Q68" s="254"/>
      <c r="R68" s="383">
        <v>3</v>
      </c>
      <c r="S68" s="254"/>
      <c r="T68" s="383">
        <v>3</v>
      </c>
      <c r="U68" s="254"/>
      <c r="V68" s="383">
        <v>2</v>
      </c>
      <c r="W68" s="254"/>
      <c r="X68" s="383">
        <v>3</v>
      </c>
      <c r="Y68" s="254"/>
      <c r="Z68" s="383">
        <v>3</v>
      </c>
      <c r="AA68" s="583"/>
      <c r="AC68" s="601">
        <f t="shared" si="10"/>
        <v>2.8</v>
      </c>
    </row>
    <row r="69" spans="2:29" ht="12" x14ac:dyDescent="0.2">
      <c r="B69" s="46" t="s">
        <v>46</v>
      </c>
      <c r="C69" s="151"/>
      <c r="D69" s="153"/>
      <c r="E69" s="34"/>
      <c r="F69" s="53"/>
      <c r="G69" s="281"/>
      <c r="H69" s="363"/>
      <c r="I69" s="254"/>
      <c r="J69" s="121"/>
      <c r="K69" s="281"/>
      <c r="L69" s="121"/>
      <c r="M69" s="281"/>
      <c r="N69" s="363"/>
      <c r="O69" s="254"/>
      <c r="P69" s="363"/>
      <c r="Q69" s="254"/>
      <c r="R69" s="363"/>
      <c r="S69" s="254"/>
      <c r="T69" s="363"/>
      <c r="U69" s="254"/>
      <c r="V69" s="363"/>
      <c r="W69" s="254"/>
      <c r="X69" s="363"/>
      <c r="Y69" s="254"/>
      <c r="Z69" s="363"/>
      <c r="AA69" s="583"/>
      <c r="AC69" s="601"/>
    </row>
    <row r="70" spans="2:29" ht="12" x14ac:dyDescent="0.2">
      <c r="B70" s="47" t="s">
        <v>45</v>
      </c>
      <c r="C70" s="151"/>
      <c r="D70" s="153">
        <v>0</v>
      </c>
      <c r="E70" s="34"/>
      <c r="F70" s="53">
        <v>0</v>
      </c>
      <c r="G70" s="281"/>
      <c r="H70" s="363">
        <v>0</v>
      </c>
      <c r="I70" s="254"/>
      <c r="J70" s="121">
        <v>0</v>
      </c>
      <c r="K70" s="281"/>
      <c r="L70" s="121">
        <v>0</v>
      </c>
      <c r="M70" s="281"/>
      <c r="N70" s="363">
        <v>0</v>
      </c>
      <c r="O70" s="254"/>
      <c r="P70" s="363">
        <v>0</v>
      </c>
      <c r="Q70" s="254"/>
      <c r="R70" s="363">
        <v>0</v>
      </c>
      <c r="S70" s="254"/>
      <c r="T70" s="363">
        <v>0</v>
      </c>
      <c r="U70" s="254"/>
      <c r="V70" s="363">
        <v>0</v>
      </c>
      <c r="W70" s="254"/>
      <c r="X70" s="363">
        <v>0</v>
      </c>
      <c r="Y70" s="254"/>
      <c r="Z70" s="363">
        <v>0</v>
      </c>
      <c r="AA70" s="583"/>
      <c r="AC70" s="601">
        <f t="shared" ref="AC70:AC72" si="11">AVERAGE(X70,V70,T70,R70,Z70)</f>
        <v>0</v>
      </c>
    </row>
    <row r="71" spans="2:29" ht="12" x14ac:dyDescent="0.2">
      <c r="B71" s="615" t="s">
        <v>144</v>
      </c>
      <c r="C71" s="151"/>
      <c r="D71" s="153">
        <v>0</v>
      </c>
      <c r="E71" s="34"/>
      <c r="F71" s="53">
        <v>0</v>
      </c>
      <c r="G71" s="281"/>
      <c r="H71" s="363">
        <v>0</v>
      </c>
      <c r="I71" s="254"/>
      <c r="J71" s="121">
        <v>0</v>
      </c>
      <c r="K71" s="281"/>
      <c r="L71" s="121">
        <v>0</v>
      </c>
      <c r="M71" s="281"/>
      <c r="N71" s="363">
        <v>0</v>
      </c>
      <c r="O71" s="254"/>
      <c r="P71" s="363">
        <v>0</v>
      </c>
      <c r="Q71" s="254"/>
      <c r="R71" s="363">
        <v>0</v>
      </c>
      <c r="S71" s="254"/>
      <c r="T71" s="363">
        <v>0</v>
      </c>
      <c r="U71" s="254"/>
      <c r="V71" s="363">
        <v>0</v>
      </c>
      <c r="W71" s="254"/>
      <c r="X71" s="363">
        <v>0</v>
      </c>
      <c r="Y71" s="254"/>
      <c r="Z71" s="363">
        <v>0</v>
      </c>
      <c r="AA71" s="583"/>
      <c r="AC71" s="601">
        <f t="shared" si="11"/>
        <v>0</v>
      </c>
    </row>
    <row r="72" spans="2:29" thickBot="1" x14ac:dyDescent="0.25">
      <c r="B72" s="50" t="s">
        <v>12</v>
      </c>
      <c r="C72" s="192"/>
      <c r="D72" s="155">
        <f>SUM(D67:D71)</f>
        <v>25</v>
      </c>
      <c r="E72" s="99"/>
      <c r="F72" s="98">
        <f>SUM(F67:F71)</f>
        <v>26</v>
      </c>
      <c r="G72" s="309"/>
      <c r="H72" s="384">
        <v>25</v>
      </c>
      <c r="I72" s="378"/>
      <c r="J72" s="434">
        <f>SUM(J67:J71)</f>
        <v>27</v>
      </c>
      <c r="K72" s="309"/>
      <c r="L72" s="434">
        <f>SUM(L67:L71)</f>
        <v>27</v>
      </c>
      <c r="M72" s="309"/>
      <c r="N72" s="384">
        <f>SUM(N67:N71)</f>
        <v>27</v>
      </c>
      <c r="O72" s="378"/>
      <c r="P72" s="384">
        <f>SUM(P67:P71)</f>
        <v>27</v>
      </c>
      <c r="Q72" s="378"/>
      <c r="R72" s="384">
        <f>SUM(R67:R71)</f>
        <v>25</v>
      </c>
      <c r="S72" s="378"/>
      <c r="T72" s="384">
        <f>SUM(T67:T71)</f>
        <v>27</v>
      </c>
      <c r="U72" s="378"/>
      <c r="V72" s="384">
        <f>SUM(V67:V71)</f>
        <v>26</v>
      </c>
      <c r="W72" s="378"/>
      <c r="X72" s="384">
        <f>SUM(X67:X71)</f>
        <v>24</v>
      </c>
      <c r="Y72" s="378"/>
      <c r="Z72" s="384">
        <f>SUM(Z67:Z71)</f>
        <v>25</v>
      </c>
      <c r="AB72" s="604"/>
      <c r="AC72" s="668">
        <f t="shared" si="11"/>
        <v>25.4</v>
      </c>
    </row>
    <row r="73" spans="2:29" thickTop="1" x14ac:dyDescent="0.2">
      <c r="B73" s="627" t="s">
        <v>92</v>
      </c>
      <c r="C73" s="193"/>
      <c r="D73" s="194"/>
      <c r="E73" s="147"/>
      <c r="F73" s="190"/>
      <c r="G73" s="310" t="s">
        <v>89</v>
      </c>
      <c r="H73" s="385" t="s">
        <v>90</v>
      </c>
      <c r="I73" s="310" t="s">
        <v>89</v>
      </c>
      <c r="J73" s="385" t="s">
        <v>90</v>
      </c>
      <c r="K73" s="310" t="s">
        <v>89</v>
      </c>
      <c r="L73" s="385" t="s">
        <v>90</v>
      </c>
      <c r="M73" s="310" t="s">
        <v>89</v>
      </c>
      <c r="N73" s="385" t="s">
        <v>90</v>
      </c>
      <c r="O73" s="310" t="s">
        <v>89</v>
      </c>
      <c r="P73" s="385" t="s">
        <v>90</v>
      </c>
      <c r="Q73" s="310" t="s">
        <v>89</v>
      </c>
      <c r="R73" s="385" t="s">
        <v>90</v>
      </c>
      <c r="S73" s="310" t="s">
        <v>89</v>
      </c>
      <c r="T73" s="385" t="s">
        <v>90</v>
      </c>
      <c r="U73" s="310" t="s">
        <v>89</v>
      </c>
      <c r="V73" s="385" t="s">
        <v>90</v>
      </c>
      <c r="W73" s="310" t="s">
        <v>89</v>
      </c>
      <c r="X73" s="385" t="s">
        <v>90</v>
      </c>
      <c r="Y73" s="310" t="s">
        <v>89</v>
      </c>
      <c r="Z73" s="385" t="s">
        <v>90</v>
      </c>
      <c r="AB73" s="737" t="s">
        <v>89</v>
      </c>
      <c r="AC73" s="694" t="s">
        <v>90</v>
      </c>
    </row>
    <row r="74" spans="2:29" ht="12" x14ac:dyDescent="0.2">
      <c r="B74" s="47" t="s">
        <v>73</v>
      </c>
      <c r="C74" s="195">
        <v>20</v>
      </c>
      <c r="D74" s="196">
        <f>C74/D$72</f>
        <v>0.8</v>
      </c>
      <c r="E74" s="148">
        <v>21</v>
      </c>
      <c r="F74" s="202">
        <f t="shared" ref="F74:H81" si="12">E74/F$72</f>
        <v>0.80769230769230771</v>
      </c>
      <c r="G74" s="195">
        <v>22</v>
      </c>
      <c r="H74" s="386">
        <f t="shared" si="12"/>
        <v>0.88</v>
      </c>
      <c r="I74" s="148">
        <v>24</v>
      </c>
      <c r="J74" s="202">
        <f t="shared" ref="J74:L81" si="13">I74/J$72</f>
        <v>0.88888888888888884</v>
      </c>
      <c r="K74" s="195">
        <v>24</v>
      </c>
      <c r="L74" s="202">
        <f t="shared" si="13"/>
        <v>0.88888888888888884</v>
      </c>
      <c r="M74" s="195">
        <f>19+4</f>
        <v>23</v>
      </c>
      <c r="N74" s="386">
        <f t="shared" ref="N74:R81" si="14">M74/N$72</f>
        <v>0.85185185185185186</v>
      </c>
      <c r="O74" s="148">
        <v>23</v>
      </c>
      <c r="P74" s="386">
        <f t="shared" si="14"/>
        <v>0.85185185185185186</v>
      </c>
      <c r="Q74" s="148">
        <v>20</v>
      </c>
      <c r="R74" s="386">
        <f t="shared" si="14"/>
        <v>0.8</v>
      </c>
      <c r="S74" s="148">
        <f>3+18</f>
        <v>21</v>
      </c>
      <c r="T74" s="386">
        <f t="shared" ref="T74:T81" si="15">S74/T$72</f>
        <v>0.77777777777777779</v>
      </c>
      <c r="U74" s="148">
        <v>20</v>
      </c>
      <c r="V74" s="386">
        <f t="shared" ref="V74:V81" si="16">U74/V$72</f>
        <v>0.76923076923076927</v>
      </c>
      <c r="W74" s="148">
        <v>19</v>
      </c>
      <c r="X74" s="386">
        <f t="shared" ref="X74:X81" si="17">W74/X$72</f>
        <v>0.79166666666666663</v>
      </c>
      <c r="Y74" s="148">
        <v>19</v>
      </c>
      <c r="Z74" s="386">
        <f t="shared" ref="Z74:Z81" si="18">Y74/Z$72</f>
        <v>0.76</v>
      </c>
      <c r="AB74" s="666">
        <f t="shared" ref="AB74:AB81" si="19">AVERAGE(W74,U74,S74,Q74,Y74)</f>
        <v>19.8</v>
      </c>
      <c r="AC74" s="692">
        <f t="shared" ref="AC74:AC81" si="20">AVERAGE(X74,V74,T74,R74,Z74)</f>
        <v>0.77973504273504268</v>
      </c>
    </row>
    <row r="75" spans="2:29" ht="12" x14ac:dyDescent="0.2">
      <c r="B75" s="886" t="s">
        <v>74</v>
      </c>
      <c r="C75" s="195">
        <v>1</v>
      </c>
      <c r="D75" s="196">
        <f t="shared" ref="D75:D93" si="21">C75/$D$72</f>
        <v>0.04</v>
      </c>
      <c r="E75" s="148">
        <v>1</v>
      </c>
      <c r="F75" s="202">
        <f t="shared" si="12"/>
        <v>3.8461538461538464E-2</v>
      </c>
      <c r="G75" s="195">
        <v>0</v>
      </c>
      <c r="H75" s="386">
        <f t="shared" si="12"/>
        <v>0</v>
      </c>
      <c r="I75" s="148">
        <v>0</v>
      </c>
      <c r="J75" s="202">
        <f t="shared" si="13"/>
        <v>0</v>
      </c>
      <c r="K75" s="195">
        <v>0</v>
      </c>
      <c r="L75" s="202">
        <f t="shared" si="13"/>
        <v>0</v>
      </c>
      <c r="M75" s="195">
        <v>1</v>
      </c>
      <c r="N75" s="386">
        <f t="shared" si="14"/>
        <v>3.7037037037037035E-2</v>
      </c>
      <c r="O75" s="148">
        <v>1</v>
      </c>
      <c r="P75" s="386">
        <f t="shared" si="14"/>
        <v>3.7037037037037035E-2</v>
      </c>
      <c r="Q75" s="148">
        <v>1</v>
      </c>
      <c r="R75" s="386">
        <f t="shared" si="14"/>
        <v>0.04</v>
      </c>
      <c r="S75" s="148">
        <f>1</f>
        <v>1</v>
      </c>
      <c r="T75" s="386">
        <f t="shared" si="15"/>
        <v>3.7037037037037035E-2</v>
      </c>
      <c r="U75" s="148">
        <v>1</v>
      </c>
      <c r="V75" s="386">
        <f t="shared" si="16"/>
        <v>3.8461538461538464E-2</v>
      </c>
      <c r="W75" s="148">
        <v>1</v>
      </c>
      <c r="X75" s="386">
        <f t="shared" si="17"/>
        <v>4.1666666666666664E-2</v>
      </c>
      <c r="Y75" s="148">
        <v>1</v>
      </c>
      <c r="Z75" s="386">
        <f t="shared" si="18"/>
        <v>0.04</v>
      </c>
      <c r="AB75" s="666">
        <f t="shared" si="19"/>
        <v>1</v>
      </c>
      <c r="AC75" s="692">
        <f t="shared" si="20"/>
        <v>3.9433048433048436E-2</v>
      </c>
    </row>
    <row r="76" spans="2:29" ht="12" x14ac:dyDescent="0.2">
      <c r="B76" s="886" t="s">
        <v>75</v>
      </c>
      <c r="C76" s="195">
        <v>1</v>
      </c>
      <c r="D76" s="196">
        <f t="shared" si="21"/>
        <v>0.04</v>
      </c>
      <c r="E76" s="148">
        <v>1</v>
      </c>
      <c r="F76" s="202">
        <f t="shared" si="12"/>
        <v>3.8461538461538464E-2</v>
      </c>
      <c r="G76" s="195">
        <v>0</v>
      </c>
      <c r="H76" s="386">
        <f t="shared" si="12"/>
        <v>0</v>
      </c>
      <c r="I76" s="148">
        <v>0</v>
      </c>
      <c r="J76" s="202">
        <f t="shared" si="13"/>
        <v>0</v>
      </c>
      <c r="K76" s="195">
        <v>0</v>
      </c>
      <c r="L76" s="202">
        <f t="shared" si="13"/>
        <v>0</v>
      </c>
      <c r="M76" s="195">
        <v>0</v>
      </c>
      <c r="N76" s="386">
        <f t="shared" si="14"/>
        <v>0</v>
      </c>
      <c r="O76" s="148">
        <v>0</v>
      </c>
      <c r="P76" s="386">
        <f t="shared" si="14"/>
        <v>0</v>
      </c>
      <c r="Q76" s="148">
        <v>0</v>
      </c>
      <c r="R76" s="386">
        <f t="shared" si="14"/>
        <v>0</v>
      </c>
      <c r="S76" s="148">
        <f>0</f>
        <v>0</v>
      </c>
      <c r="T76" s="386">
        <f t="shared" si="15"/>
        <v>0</v>
      </c>
      <c r="U76" s="148">
        <v>0</v>
      </c>
      <c r="V76" s="386">
        <f t="shared" si="16"/>
        <v>0</v>
      </c>
      <c r="W76" s="148">
        <v>0</v>
      </c>
      <c r="X76" s="386">
        <f t="shared" si="17"/>
        <v>0</v>
      </c>
      <c r="Y76" s="148">
        <v>0</v>
      </c>
      <c r="Z76" s="386">
        <f t="shared" si="18"/>
        <v>0</v>
      </c>
      <c r="AA76" s="583"/>
      <c r="AB76" s="666">
        <f t="shared" si="19"/>
        <v>0</v>
      </c>
      <c r="AC76" s="692">
        <f t="shared" si="20"/>
        <v>0</v>
      </c>
    </row>
    <row r="77" spans="2:29" ht="12" x14ac:dyDescent="0.2">
      <c r="B77" s="886" t="s">
        <v>76</v>
      </c>
      <c r="C77" s="195">
        <v>0</v>
      </c>
      <c r="D77" s="196">
        <f t="shared" si="21"/>
        <v>0</v>
      </c>
      <c r="E77" s="148">
        <v>0</v>
      </c>
      <c r="F77" s="202">
        <f t="shared" si="12"/>
        <v>0</v>
      </c>
      <c r="G77" s="195">
        <v>0</v>
      </c>
      <c r="H77" s="386">
        <f t="shared" si="12"/>
        <v>0</v>
      </c>
      <c r="I77" s="148">
        <v>0</v>
      </c>
      <c r="J77" s="202">
        <f t="shared" si="13"/>
        <v>0</v>
      </c>
      <c r="K77" s="195">
        <v>0</v>
      </c>
      <c r="L77" s="202">
        <f t="shared" si="13"/>
        <v>0</v>
      </c>
      <c r="M77" s="195">
        <v>0</v>
      </c>
      <c r="N77" s="386">
        <f t="shared" si="14"/>
        <v>0</v>
      </c>
      <c r="O77" s="148">
        <v>0</v>
      </c>
      <c r="P77" s="386">
        <f t="shared" si="14"/>
        <v>0</v>
      </c>
      <c r="Q77" s="148">
        <v>0</v>
      </c>
      <c r="R77" s="386">
        <f t="shared" si="14"/>
        <v>0</v>
      </c>
      <c r="S77" s="148">
        <f>0</f>
        <v>0</v>
      </c>
      <c r="T77" s="386">
        <f t="shared" si="15"/>
        <v>0</v>
      </c>
      <c r="U77" s="148">
        <v>0</v>
      </c>
      <c r="V77" s="386">
        <f t="shared" si="16"/>
        <v>0</v>
      </c>
      <c r="W77" s="148">
        <v>0</v>
      </c>
      <c r="X77" s="386">
        <f t="shared" si="17"/>
        <v>0</v>
      </c>
      <c r="Y77" s="148">
        <v>0</v>
      </c>
      <c r="Z77" s="386">
        <f t="shared" si="18"/>
        <v>0</v>
      </c>
      <c r="AA77" s="583"/>
      <c r="AB77" s="666">
        <f t="shared" si="19"/>
        <v>0</v>
      </c>
      <c r="AC77" s="692">
        <f t="shared" si="20"/>
        <v>0</v>
      </c>
    </row>
    <row r="78" spans="2:29" ht="12" x14ac:dyDescent="0.2">
      <c r="B78" s="886" t="s">
        <v>77</v>
      </c>
      <c r="C78" s="195">
        <v>2</v>
      </c>
      <c r="D78" s="196">
        <f t="shared" si="21"/>
        <v>0.08</v>
      </c>
      <c r="E78" s="148">
        <v>1</v>
      </c>
      <c r="F78" s="202">
        <f t="shared" si="12"/>
        <v>3.8461538461538464E-2</v>
      </c>
      <c r="G78" s="195">
        <v>1</v>
      </c>
      <c r="H78" s="386">
        <f t="shared" si="12"/>
        <v>0.04</v>
      </c>
      <c r="I78" s="148">
        <v>1</v>
      </c>
      <c r="J78" s="202">
        <f t="shared" si="13"/>
        <v>3.7037037037037035E-2</v>
      </c>
      <c r="K78" s="195">
        <v>2</v>
      </c>
      <c r="L78" s="202">
        <f t="shared" si="13"/>
        <v>7.407407407407407E-2</v>
      </c>
      <c r="M78" s="195">
        <v>2</v>
      </c>
      <c r="N78" s="386">
        <f t="shared" si="14"/>
        <v>7.407407407407407E-2</v>
      </c>
      <c r="O78" s="148">
        <v>3</v>
      </c>
      <c r="P78" s="386">
        <f t="shared" si="14"/>
        <v>0.1111111111111111</v>
      </c>
      <c r="Q78" s="148">
        <v>3</v>
      </c>
      <c r="R78" s="386">
        <f t="shared" si="14"/>
        <v>0.12</v>
      </c>
      <c r="S78" s="148">
        <f>3</f>
        <v>3</v>
      </c>
      <c r="T78" s="386">
        <f t="shared" si="15"/>
        <v>0.1111111111111111</v>
      </c>
      <c r="U78" s="148">
        <v>2</v>
      </c>
      <c r="V78" s="386">
        <f t="shared" si="16"/>
        <v>7.6923076923076927E-2</v>
      </c>
      <c r="W78" s="148">
        <v>2</v>
      </c>
      <c r="X78" s="386">
        <f t="shared" si="17"/>
        <v>8.3333333333333329E-2</v>
      </c>
      <c r="Y78" s="148">
        <v>2</v>
      </c>
      <c r="Z78" s="386">
        <f t="shared" si="18"/>
        <v>0.08</v>
      </c>
      <c r="AA78" s="583"/>
      <c r="AB78" s="666">
        <f t="shared" si="19"/>
        <v>2.4</v>
      </c>
      <c r="AC78" s="692">
        <f t="shared" si="20"/>
        <v>9.4273504273504269E-2</v>
      </c>
    </row>
    <row r="79" spans="2:29" ht="12" x14ac:dyDescent="0.2">
      <c r="B79" s="886" t="s">
        <v>78</v>
      </c>
      <c r="C79" s="195">
        <v>1</v>
      </c>
      <c r="D79" s="196">
        <f t="shared" si="21"/>
        <v>0.04</v>
      </c>
      <c r="E79" s="148">
        <v>2</v>
      </c>
      <c r="F79" s="202">
        <f t="shared" si="12"/>
        <v>7.6923076923076927E-2</v>
      </c>
      <c r="G79" s="195">
        <v>2</v>
      </c>
      <c r="H79" s="386">
        <f t="shared" si="12"/>
        <v>0.08</v>
      </c>
      <c r="I79" s="148">
        <v>2</v>
      </c>
      <c r="J79" s="202">
        <f t="shared" si="13"/>
        <v>7.407407407407407E-2</v>
      </c>
      <c r="K79" s="195">
        <v>1</v>
      </c>
      <c r="L79" s="202">
        <f t="shared" si="13"/>
        <v>3.7037037037037035E-2</v>
      </c>
      <c r="M79" s="195">
        <v>1</v>
      </c>
      <c r="N79" s="386">
        <f t="shared" si="14"/>
        <v>3.7037037037037035E-2</v>
      </c>
      <c r="O79" s="148">
        <v>0</v>
      </c>
      <c r="P79" s="386">
        <f t="shared" si="14"/>
        <v>0</v>
      </c>
      <c r="Q79" s="148">
        <v>0</v>
      </c>
      <c r="R79" s="386">
        <f t="shared" si="14"/>
        <v>0</v>
      </c>
      <c r="S79" s="148">
        <f>0</f>
        <v>0</v>
      </c>
      <c r="T79" s="386">
        <f t="shared" si="15"/>
        <v>0</v>
      </c>
      <c r="U79" s="148">
        <v>1</v>
      </c>
      <c r="V79" s="386">
        <f t="shared" si="16"/>
        <v>3.8461538461538464E-2</v>
      </c>
      <c r="W79" s="148">
        <v>1</v>
      </c>
      <c r="X79" s="386">
        <f t="shared" si="17"/>
        <v>4.1666666666666664E-2</v>
      </c>
      <c r="Y79" s="148">
        <v>2</v>
      </c>
      <c r="Z79" s="386">
        <f t="shared" si="18"/>
        <v>0.08</v>
      </c>
      <c r="AA79" s="583"/>
      <c r="AB79" s="666">
        <f t="shared" si="19"/>
        <v>0.8</v>
      </c>
      <c r="AC79" s="692">
        <f t="shared" si="20"/>
        <v>3.2025641025641025E-2</v>
      </c>
    </row>
    <row r="80" spans="2:29" ht="12" x14ac:dyDescent="0.2">
      <c r="B80" s="886" t="s">
        <v>172</v>
      </c>
      <c r="C80" s="197"/>
      <c r="D80" s="196"/>
      <c r="E80" s="146"/>
      <c r="F80" s="202"/>
      <c r="G80" s="974"/>
      <c r="H80" s="975"/>
      <c r="I80" s="976"/>
      <c r="J80" s="977"/>
      <c r="K80" s="974"/>
      <c r="L80" s="977"/>
      <c r="M80" s="974"/>
      <c r="N80" s="975"/>
      <c r="O80" s="976"/>
      <c r="P80" s="975"/>
      <c r="Q80" s="146">
        <v>1</v>
      </c>
      <c r="R80" s="386">
        <f t="shared" si="14"/>
        <v>0.04</v>
      </c>
      <c r="S80" s="146">
        <f>2</f>
        <v>2</v>
      </c>
      <c r="T80" s="386">
        <f t="shared" si="15"/>
        <v>7.407407407407407E-2</v>
      </c>
      <c r="U80" s="146">
        <v>2</v>
      </c>
      <c r="V80" s="386">
        <f t="shared" si="16"/>
        <v>7.6923076923076927E-2</v>
      </c>
      <c r="W80" s="146">
        <v>1</v>
      </c>
      <c r="X80" s="386">
        <f t="shared" si="17"/>
        <v>4.1666666666666664E-2</v>
      </c>
      <c r="Y80" s="146">
        <v>1</v>
      </c>
      <c r="Z80" s="386">
        <f t="shared" si="18"/>
        <v>0.04</v>
      </c>
      <c r="AA80" s="583"/>
      <c r="AB80" s="666">
        <f t="shared" si="19"/>
        <v>1.4</v>
      </c>
      <c r="AC80" s="692">
        <f t="shared" si="20"/>
        <v>5.4532763532763526E-2</v>
      </c>
    </row>
    <row r="81" spans="1:29" ht="12" x14ac:dyDescent="0.2">
      <c r="B81" s="886" t="s">
        <v>79</v>
      </c>
      <c r="C81" s="197">
        <v>0</v>
      </c>
      <c r="D81" s="196">
        <f t="shared" si="21"/>
        <v>0</v>
      </c>
      <c r="E81" s="146">
        <v>0</v>
      </c>
      <c r="F81" s="202">
        <f t="shared" si="12"/>
        <v>0</v>
      </c>
      <c r="G81" s="197">
        <v>0</v>
      </c>
      <c r="H81" s="386">
        <f t="shared" si="12"/>
        <v>0</v>
      </c>
      <c r="I81" s="146">
        <v>0</v>
      </c>
      <c r="J81" s="202">
        <f t="shared" si="13"/>
        <v>0</v>
      </c>
      <c r="K81" s="197">
        <v>0</v>
      </c>
      <c r="L81" s="202">
        <f t="shared" si="13"/>
        <v>0</v>
      </c>
      <c r="M81" s="197">
        <v>0</v>
      </c>
      <c r="N81" s="386">
        <f t="shared" si="14"/>
        <v>0</v>
      </c>
      <c r="O81" s="146">
        <v>0</v>
      </c>
      <c r="P81" s="386">
        <f t="shared" si="14"/>
        <v>0</v>
      </c>
      <c r="Q81" s="146">
        <v>0</v>
      </c>
      <c r="R81" s="386">
        <f t="shared" si="14"/>
        <v>0</v>
      </c>
      <c r="S81" s="146">
        <f>0</f>
        <v>0</v>
      </c>
      <c r="T81" s="386">
        <f t="shared" si="15"/>
        <v>0</v>
      </c>
      <c r="U81" s="146">
        <v>0</v>
      </c>
      <c r="V81" s="386">
        <f t="shared" si="16"/>
        <v>0</v>
      </c>
      <c r="W81" s="146">
        <v>0</v>
      </c>
      <c r="X81" s="386">
        <f t="shared" si="17"/>
        <v>0</v>
      </c>
      <c r="Y81" s="146">
        <v>0</v>
      </c>
      <c r="Z81" s="386">
        <f t="shared" si="18"/>
        <v>0</v>
      </c>
      <c r="AA81" s="583"/>
      <c r="AB81" s="666">
        <f t="shared" si="19"/>
        <v>0</v>
      </c>
      <c r="AC81" s="692">
        <f t="shared" si="20"/>
        <v>0</v>
      </c>
    </row>
    <row r="82" spans="1:29" ht="12" x14ac:dyDescent="0.2">
      <c r="B82" s="887" t="s">
        <v>93</v>
      </c>
      <c r="C82" s="198"/>
      <c r="D82" s="196"/>
      <c r="E82" s="206"/>
      <c r="F82" s="306"/>
      <c r="G82" s="311"/>
      <c r="H82" s="387"/>
      <c r="I82" s="206"/>
      <c r="J82" s="306"/>
      <c r="K82" s="311"/>
      <c r="L82" s="306"/>
      <c r="M82" s="311"/>
      <c r="N82" s="387"/>
      <c r="O82" s="206"/>
      <c r="P82" s="387"/>
      <c r="Q82" s="206"/>
      <c r="R82" s="387"/>
      <c r="S82" s="206"/>
      <c r="T82" s="387"/>
      <c r="U82" s="206"/>
      <c r="V82" s="387"/>
      <c r="W82" s="206"/>
      <c r="X82" s="387"/>
      <c r="Y82" s="206"/>
      <c r="Z82" s="387"/>
      <c r="AA82" s="583"/>
      <c r="AB82" s="666"/>
      <c r="AC82" s="692"/>
    </row>
    <row r="83" spans="1:29" ht="12" x14ac:dyDescent="0.2">
      <c r="B83" s="47" t="s">
        <v>80</v>
      </c>
      <c r="C83" s="209">
        <v>19</v>
      </c>
      <c r="D83" s="196">
        <f t="shared" si="21"/>
        <v>0.76</v>
      </c>
      <c r="E83" s="117">
        <v>20</v>
      </c>
      <c r="F83" s="234">
        <f>E83/F$72</f>
        <v>0.76923076923076927</v>
      </c>
      <c r="G83" s="209">
        <v>20</v>
      </c>
      <c r="H83" s="388">
        <f>G83/H$72</f>
        <v>0.8</v>
      </c>
      <c r="I83" s="259">
        <v>19</v>
      </c>
      <c r="J83" s="234">
        <f>I83/J$72</f>
        <v>0.70370370370370372</v>
      </c>
      <c r="K83" s="209">
        <v>20</v>
      </c>
      <c r="L83" s="234">
        <f>K83/L$72</f>
        <v>0.7407407407407407</v>
      </c>
      <c r="M83" s="209">
        <f>17+3</f>
        <v>20</v>
      </c>
      <c r="N83" s="388">
        <f>M83/N$72</f>
        <v>0.7407407407407407</v>
      </c>
      <c r="O83" s="259">
        <v>20</v>
      </c>
      <c r="P83" s="388">
        <f>O83/P$72</f>
        <v>0.7407407407407407</v>
      </c>
      <c r="Q83" s="259">
        <v>18</v>
      </c>
      <c r="R83" s="386">
        <f>Q83/R$72</f>
        <v>0.72</v>
      </c>
      <c r="S83" s="259">
        <f>3+16</f>
        <v>19</v>
      </c>
      <c r="T83" s="386">
        <f>S83/T$72</f>
        <v>0.70370370370370372</v>
      </c>
      <c r="U83" s="259">
        <v>18</v>
      </c>
      <c r="V83" s="386">
        <f>U83/V$72</f>
        <v>0.69230769230769229</v>
      </c>
      <c r="W83" s="259">
        <v>16</v>
      </c>
      <c r="X83" s="386">
        <f>W83/X$72</f>
        <v>0.66666666666666663</v>
      </c>
      <c r="Y83" s="259">
        <v>17</v>
      </c>
      <c r="Z83" s="386">
        <f>Y83/Z$72</f>
        <v>0.68</v>
      </c>
      <c r="AA83" s="583"/>
      <c r="AB83" s="666">
        <f t="shared" ref="AB83:AB84" si="22">AVERAGE(W83,U83,S83,Q83,Y83)</f>
        <v>17.600000000000001</v>
      </c>
      <c r="AC83" s="692">
        <f t="shared" ref="AC83:AC84" si="23">AVERAGE(X83,V83,T83,R83,Z83)</f>
        <v>0.69253561253561258</v>
      </c>
    </row>
    <row r="84" spans="1:29" ht="12" x14ac:dyDescent="0.2">
      <c r="B84" s="47" t="s">
        <v>81</v>
      </c>
      <c r="C84" s="209">
        <v>6</v>
      </c>
      <c r="D84" s="196">
        <f t="shared" si="21"/>
        <v>0.24</v>
      </c>
      <c r="E84" s="204">
        <v>6</v>
      </c>
      <c r="F84" s="234">
        <f>E84/F$72</f>
        <v>0.23076923076923078</v>
      </c>
      <c r="G84" s="340">
        <v>5</v>
      </c>
      <c r="H84" s="388">
        <f>G84/H$72</f>
        <v>0.2</v>
      </c>
      <c r="I84" s="380">
        <v>8</v>
      </c>
      <c r="J84" s="234">
        <f>I84/J$72</f>
        <v>0.29629629629629628</v>
      </c>
      <c r="K84" s="340">
        <v>7</v>
      </c>
      <c r="L84" s="234">
        <f>K84/L$72</f>
        <v>0.25925925925925924</v>
      </c>
      <c r="M84" s="340">
        <f>6+1</f>
        <v>7</v>
      </c>
      <c r="N84" s="388">
        <f>M84/N$72</f>
        <v>0.25925925925925924</v>
      </c>
      <c r="O84" s="380">
        <v>7</v>
      </c>
      <c r="P84" s="388">
        <f>O84/P$72</f>
        <v>0.25925925925925924</v>
      </c>
      <c r="Q84" s="380">
        <v>7</v>
      </c>
      <c r="R84" s="386">
        <f>Q84/R$72</f>
        <v>0.28000000000000003</v>
      </c>
      <c r="S84" s="380">
        <f>8</f>
        <v>8</v>
      </c>
      <c r="T84" s="386">
        <f>S84/T$72</f>
        <v>0.29629629629629628</v>
      </c>
      <c r="U84" s="380">
        <v>8</v>
      </c>
      <c r="V84" s="386">
        <f>U84/V$72</f>
        <v>0.30769230769230771</v>
      </c>
      <c r="W84" s="380">
        <v>8</v>
      </c>
      <c r="X84" s="386">
        <f>W84/X$72</f>
        <v>0.33333333333333331</v>
      </c>
      <c r="Y84" s="380">
        <v>8</v>
      </c>
      <c r="Z84" s="386">
        <f>Y84/Z$72</f>
        <v>0.32</v>
      </c>
      <c r="AA84" s="583"/>
      <c r="AB84" s="666">
        <f t="shared" si="22"/>
        <v>7.8</v>
      </c>
      <c r="AC84" s="692">
        <f t="shared" si="23"/>
        <v>0.30746438746438748</v>
      </c>
    </row>
    <row r="85" spans="1:29" ht="12" x14ac:dyDescent="0.2">
      <c r="B85" s="887" t="s">
        <v>94</v>
      </c>
      <c r="C85" s="199"/>
      <c r="D85" s="196"/>
      <c r="E85" s="207"/>
      <c r="F85" s="234"/>
      <c r="G85" s="298"/>
      <c r="H85" s="388"/>
      <c r="I85" s="381"/>
      <c r="J85" s="234"/>
      <c r="K85" s="298"/>
      <c r="L85" s="234"/>
      <c r="M85" s="298"/>
      <c r="N85" s="388"/>
      <c r="O85" s="381"/>
      <c r="P85" s="388"/>
      <c r="Q85" s="381"/>
      <c r="R85" s="386"/>
      <c r="S85" s="381"/>
      <c r="T85" s="386"/>
      <c r="U85" s="381"/>
      <c r="V85" s="386"/>
      <c r="W85" s="381"/>
      <c r="X85" s="386"/>
      <c r="Y85" s="381"/>
      <c r="Z85" s="386"/>
      <c r="AA85" s="583"/>
      <c r="AB85" s="666"/>
      <c r="AC85" s="692"/>
    </row>
    <row r="86" spans="1:29" ht="12" x14ac:dyDescent="0.2">
      <c r="B86" s="47" t="s">
        <v>82</v>
      </c>
      <c r="C86" s="205">
        <v>9</v>
      </c>
      <c r="D86" s="196">
        <f t="shared" si="21"/>
        <v>0.36</v>
      </c>
      <c r="E86" s="204">
        <v>9</v>
      </c>
      <c r="F86" s="234">
        <f>E86/F$72</f>
        <v>0.34615384615384615</v>
      </c>
      <c r="G86" s="340">
        <v>14</v>
      </c>
      <c r="H86" s="388">
        <f>G86/H$72</f>
        <v>0.56000000000000005</v>
      </c>
      <c r="I86" s="380">
        <v>9</v>
      </c>
      <c r="J86" s="234">
        <f>I86/J$72</f>
        <v>0.33333333333333331</v>
      </c>
      <c r="K86" s="340">
        <v>10</v>
      </c>
      <c r="L86" s="234">
        <f>K86/L$72</f>
        <v>0.37037037037037035</v>
      </c>
      <c r="M86" s="340">
        <v>13</v>
      </c>
      <c r="N86" s="388">
        <f>M86/N$72</f>
        <v>0.48148148148148145</v>
      </c>
      <c r="O86" s="380">
        <v>12</v>
      </c>
      <c r="P86" s="388">
        <f>O86/P$72</f>
        <v>0.44444444444444442</v>
      </c>
      <c r="Q86" s="380">
        <v>12</v>
      </c>
      <c r="R86" s="386">
        <f>Q86/R$72</f>
        <v>0.48</v>
      </c>
      <c r="S86" s="380">
        <f>13</f>
        <v>13</v>
      </c>
      <c r="T86" s="386">
        <f>S86/T$72</f>
        <v>0.48148148148148145</v>
      </c>
      <c r="U86" s="380">
        <v>13</v>
      </c>
      <c r="V86" s="386">
        <f>U86/V$72</f>
        <v>0.5</v>
      </c>
      <c r="W86" s="380">
        <v>12</v>
      </c>
      <c r="X86" s="386">
        <f>W86/X$72</f>
        <v>0.5</v>
      </c>
      <c r="Y86" s="380">
        <v>12</v>
      </c>
      <c r="Z86" s="386">
        <f>Y86/Z$72</f>
        <v>0.48</v>
      </c>
      <c r="AA86" s="583"/>
      <c r="AB86" s="666">
        <f t="shared" ref="AB86:AB88" si="24">AVERAGE(W86,U86,S86,Q86,Y86)</f>
        <v>12.4</v>
      </c>
      <c r="AC86" s="692">
        <f t="shared" ref="AC86:AC88" si="25">AVERAGE(X86,V86,T86,R86,Z86)</f>
        <v>0.48829629629629628</v>
      </c>
    </row>
    <row r="87" spans="1:29" ht="12" x14ac:dyDescent="0.2">
      <c r="B87" s="47" t="s">
        <v>83</v>
      </c>
      <c r="C87" s="205">
        <v>4</v>
      </c>
      <c r="D87" s="196">
        <f t="shared" si="21"/>
        <v>0.16</v>
      </c>
      <c r="E87" s="204">
        <v>4</v>
      </c>
      <c r="F87" s="234">
        <f>E87/F$72</f>
        <v>0.15384615384615385</v>
      </c>
      <c r="G87" s="340">
        <v>4</v>
      </c>
      <c r="H87" s="388">
        <f>G87/H$72</f>
        <v>0.16</v>
      </c>
      <c r="I87" s="380">
        <v>3</v>
      </c>
      <c r="J87" s="234">
        <f>I87/J$72</f>
        <v>0.1111111111111111</v>
      </c>
      <c r="K87" s="340">
        <v>4</v>
      </c>
      <c r="L87" s="234">
        <f>K87/L$72</f>
        <v>0.14814814814814814</v>
      </c>
      <c r="M87" s="340">
        <v>2</v>
      </c>
      <c r="N87" s="388">
        <f>M87/N$72</f>
        <v>7.407407407407407E-2</v>
      </c>
      <c r="O87" s="380">
        <v>2</v>
      </c>
      <c r="P87" s="388">
        <f>O87/P$72</f>
        <v>7.407407407407407E-2</v>
      </c>
      <c r="Q87" s="380">
        <v>2</v>
      </c>
      <c r="R87" s="386">
        <f>Q87/R$72</f>
        <v>0.08</v>
      </c>
      <c r="S87" s="380">
        <f>2</f>
        <v>2</v>
      </c>
      <c r="T87" s="386">
        <f>S87/T$72</f>
        <v>7.407407407407407E-2</v>
      </c>
      <c r="U87" s="380">
        <v>0</v>
      </c>
      <c r="V87" s="386">
        <f>U87/V$72</f>
        <v>0</v>
      </c>
      <c r="W87" s="380">
        <v>1</v>
      </c>
      <c r="X87" s="386">
        <f>W87/X$72</f>
        <v>4.1666666666666664E-2</v>
      </c>
      <c r="Y87" s="380">
        <v>1</v>
      </c>
      <c r="Z87" s="386">
        <f>Y87/Z$72</f>
        <v>0.04</v>
      </c>
      <c r="AA87" s="583"/>
      <c r="AB87" s="666">
        <f t="shared" si="24"/>
        <v>1.2</v>
      </c>
      <c r="AC87" s="692">
        <f t="shared" si="25"/>
        <v>4.7148148148148147E-2</v>
      </c>
    </row>
    <row r="88" spans="1:29" ht="12" x14ac:dyDescent="0.2">
      <c r="B88" s="47" t="s">
        <v>84</v>
      </c>
      <c r="C88" s="205">
        <v>12</v>
      </c>
      <c r="D88" s="196">
        <f t="shared" si="21"/>
        <v>0.48</v>
      </c>
      <c r="E88" s="204">
        <v>13</v>
      </c>
      <c r="F88" s="234">
        <f>E88/F$72</f>
        <v>0.5</v>
      </c>
      <c r="G88" s="340">
        <v>7</v>
      </c>
      <c r="H88" s="388">
        <f>G88/H$72</f>
        <v>0.28000000000000003</v>
      </c>
      <c r="I88" s="380">
        <v>15</v>
      </c>
      <c r="J88" s="234">
        <f>I88/J$72</f>
        <v>0.55555555555555558</v>
      </c>
      <c r="K88" s="340">
        <v>13</v>
      </c>
      <c r="L88" s="234">
        <f>K88/L$72</f>
        <v>0.48148148148148145</v>
      </c>
      <c r="M88" s="340">
        <f>8+4</f>
        <v>12</v>
      </c>
      <c r="N88" s="388">
        <f>M88/N$72</f>
        <v>0.44444444444444442</v>
      </c>
      <c r="O88" s="380">
        <v>13</v>
      </c>
      <c r="P88" s="388">
        <f>O88/P$72</f>
        <v>0.48148148148148145</v>
      </c>
      <c r="Q88" s="380">
        <v>10</v>
      </c>
      <c r="R88" s="386">
        <f>Q88/R$72</f>
        <v>0.4</v>
      </c>
      <c r="S88" s="380">
        <f>3+9</f>
        <v>12</v>
      </c>
      <c r="T88" s="386">
        <f>S88/T$72</f>
        <v>0.44444444444444442</v>
      </c>
      <c r="U88" s="380">
        <v>13</v>
      </c>
      <c r="V88" s="386">
        <f>U88/V$72</f>
        <v>0.5</v>
      </c>
      <c r="W88" s="380">
        <v>11</v>
      </c>
      <c r="X88" s="386">
        <f>W88/X$72</f>
        <v>0.45833333333333331</v>
      </c>
      <c r="Y88" s="380">
        <v>12</v>
      </c>
      <c r="Z88" s="386">
        <f>Y88/Z$72</f>
        <v>0.48</v>
      </c>
      <c r="AA88" s="583"/>
      <c r="AB88" s="666">
        <f t="shared" si="24"/>
        <v>11.6</v>
      </c>
      <c r="AC88" s="692">
        <f t="shared" si="25"/>
        <v>0.45655555555555549</v>
      </c>
    </row>
    <row r="89" spans="1:29" ht="12" x14ac:dyDescent="0.2">
      <c r="B89" s="887" t="s">
        <v>95</v>
      </c>
      <c r="C89" s="199"/>
      <c r="D89" s="196"/>
      <c r="E89" s="207"/>
      <c r="F89" s="234"/>
      <c r="G89" s="298"/>
      <c r="H89" s="388"/>
      <c r="I89" s="381"/>
      <c r="J89" s="234"/>
      <c r="K89" s="298"/>
      <c r="L89" s="234"/>
      <c r="M89" s="298"/>
      <c r="N89" s="388"/>
      <c r="O89" s="381"/>
      <c r="P89" s="388"/>
      <c r="Q89" s="381"/>
      <c r="R89" s="386"/>
      <c r="S89" s="381"/>
      <c r="T89" s="386"/>
      <c r="U89" s="381"/>
      <c r="V89" s="386"/>
      <c r="W89" s="381"/>
      <c r="X89" s="386"/>
      <c r="Y89" s="381"/>
      <c r="Z89" s="386"/>
      <c r="AA89" s="583"/>
      <c r="AB89" s="666"/>
      <c r="AC89" s="692"/>
    </row>
    <row r="90" spans="1:29" ht="12" x14ac:dyDescent="0.2">
      <c r="B90" s="47" t="s">
        <v>85</v>
      </c>
      <c r="C90" s="205">
        <v>17</v>
      </c>
      <c r="D90" s="196">
        <f t="shared" si="21"/>
        <v>0.68</v>
      </c>
      <c r="E90" s="204">
        <v>20</v>
      </c>
      <c r="F90" s="234">
        <f>E90/F$72</f>
        <v>0.76923076923076927</v>
      </c>
      <c r="G90" s="340">
        <v>20</v>
      </c>
      <c r="H90" s="388">
        <f>G90/H$72</f>
        <v>0.8</v>
      </c>
      <c r="I90" s="380">
        <v>18</v>
      </c>
      <c r="J90" s="234">
        <f>I90/J$72</f>
        <v>0.66666666666666663</v>
      </c>
      <c r="K90" s="340">
        <v>19</v>
      </c>
      <c r="L90" s="234">
        <f>K90/L$72</f>
        <v>0.70370370370370372</v>
      </c>
      <c r="M90" s="340">
        <f>18+3</f>
        <v>21</v>
      </c>
      <c r="N90" s="388">
        <f>M90/N$72</f>
        <v>0.77777777777777779</v>
      </c>
      <c r="O90" s="380">
        <v>20</v>
      </c>
      <c r="P90" s="388">
        <f>O90/P$72</f>
        <v>0.7407407407407407</v>
      </c>
      <c r="Q90" s="380">
        <v>18</v>
      </c>
      <c r="R90" s="386">
        <f>Q90/R$72</f>
        <v>0.72</v>
      </c>
      <c r="S90" s="380">
        <f>1+18</f>
        <v>19</v>
      </c>
      <c r="T90" s="386">
        <f>S90/T$72</f>
        <v>0.70370370370370372</v>
      </c>
      <c r="U90" s="380">
        <v>17</v>
      </c>
      <c r="V90" s="386">
        <f>U90/V$72</f>
        <v>0.65384615384615385</v>
      </c>
      <c r="W90" s="380">
        <v>16</v>
      </c>
      <c r="X90" s="386">
        <f>W90/X$72</f>
        <v>0.66666666666666663</v>
      </c>
      <c r="Y90" s="380">
        <v>17</v>
      </c>
      <c r="Z90" s="386">
        <f>Y90/Z$72</f>
        <v>0.68</v>
      </c>
      <c r="AA90" s="583"/>
      <c r="AB90" s="666">
        <f t="shared" ref="AB90:AB93" si="26">AVERAGE(W90,U90,S90,Q90,Y90)</f>
        <v>17.399999999999999</v>
      </c>
      <c r="AC90" s="692">
        <f t="shared" ref="AC90:AC93" si="27">AVERAGE(X90,V90,T90,R90,Z90)</f>
        <v>0.68484330484330491</v>
      </c>
    </row>
    <row r="91" spans="1:29" ht="12" x14ac:dyDescent="0.2">
      <c r="B91" s="47" t="s">
        <v>86</v>
      </c>
      <c r="C91" s="205">
        <v>8</v>
      </c>
      <c r="D91" s="196">
        <f t="shared" si="21"/>
        <v>0.32</v>
      </c>
      <c r="E91" s="204">
        <v>6</v>
      </c>
      <c r="F91" s="234">
        <f>E91/F$72</f>
        <v>0.23076923076923078</v>
      </c>
      <c r="G91" s="340">
        <v>5</v>
      </c>
      <c r="H91" s="388">
        <f>G91/H$72</f>
        <v>0.2</v>
      </c>
      <c r="I91" s="380">
        <v>9</v>
      </c>
      <c r="J91" s="234">
        <f>I91/J$72</f>
        <v>0.33333333333333331</v>
      </c>
      <c r="K91" s="340">
        <v>8</v>
      </c>
      <c r="L91" s="234">
        <f>K91/L$72</f>
        <v>0.29629629629629628</v>
      </c>
      <c r="M91" s="340">
        <f>5+1</f>
        <v>6</v>
      </c>
      <c r="N91" s="388">
        <f>M91/N$72</f>
        <v>0.22222222222222221</v>
      </c>
      <c r="O91" s="380">
        <v>7</v>
      </c>
      <c r="P91" s="388">
        <f>O91/P$72</f>
        <v>0.25925925925925924</v>
      </c>
      <c r="Q91" s="380">
        <v>7</v>
      </c>
      <c r="R91" s="386">
        <f>Q91/R$72</f>
        <v>0.28000000000000003</v>
      </c>
      <c r="S91" s="380">
        <f>2+6</f>
        <v>8</v>
      </c>
      <c r="T91" s="386">
        <f>S91/T$72</f>
        <v>0.29629629629629628</v>
      </c>
      <c r="U91" s="380">
        <v>9</v>
      </c>
      <c r="V91" s="386">
        <f>U91/V$72</f>
        <v>0.34615384615384615</v>
      </c>
      <c r="W91" s="380">
        <v>8</v>
      </c>
      <c r="X91" s="386">
        <f>W91/X$72</f>
        <v>0.33333333333333331</v>
      </c>
      <c r="Y91" s="380">
        <v>8</v>
      </c>
      <c r="Z91" s="386">
        <f>Y91/Z$72</f>
        <v>0.32</v>
      </c>
      <c r="AA91" s="583"/>
      <c r="AB91" s="666">
        <f t="shared" si="26"/>
        <v>8</v>
      </c>
      <c r="AC91" s="692">
        <f t="shared" si="27"/>
        <v>0.3151566951566952</v>
      </c>
    </row>
    <row r="92" spans="1:29" ht="12" x14ac:dyDescent="0.2">
      <c r="B92" s="47" t="s">
        <v>87</v>
      </c>
      <c r="C92" s="205">
        <v>0</v>
      </c>
      <c r="D92" s="196">
        <f t="shared" si="21"/>
        <v>0</v>
      </c>
      <c r="E92" s="204">
        <v>0</v>
      </c>
      <c r="F92" s="234">
        <f>E92/F$72</f>
        <v>0</v>
      </c>
      <c r="G92" s="340">
        <v>0</v>
      </c>
      <c r="H92" s="388">
        <f>G92/H$72</f>
        <v>0</v>
      </c>
      <c r="I92" s="380">
        <v>0</v>
      </c>
      <c r="J92" s="234">
        <f>I92/J$72</f>
        <v>0</v>
      </c>
      <c r="K92" s="340">
        <v>0</v>
      </c>
      <c r="L92" s="234">
        <f>K92/L$72</f>
        <v>0</v>
      </c>
      <c r="M92" s="340">
        <v>0</v>
      </c>
      <c r="N92" s="388">
        <f>M92/N$72</f>
        <v>0</v>
      </c>
      <c r="O92" s="380">
        <v>0</v>
      </c>
      <c r="P92" s="388">
        <f>O92/P$72</f>
        <v>0</v>
      </c>
      <c r="Q92" s="380">
        <v>0</v>
      </c>
      <c r="R92" s="386">
        <f>Q92/R$72</f>
        <v>0</v>
      </c>
      <c r="S92" s="380">
        <f>0</f>
        <v>0</v>
      </c>
      <c r="T92" s="386">
        <f>S92/T$72</f>
        <v>0</v>
      </c>
      <c r="U92" s="380">
        <v>0</v>
      </c>
      <c r="V92" s="386">
        <f>U92/V$72</f>
        <v>0</v>
      </c>
      <c r="W92" s="380">
        <v>0</v>
      </c>
      <c r="X92" s="386">
        <f>W92/X$72</f>
        <v>0</v>
      </c>
      <c r="Y92" s="380">
        <v>0</v>
      </c>
      <c r="Z92" s="386">
        <f>Y92/Z$72</f>
        <v>0</v>
      </c>
      <c r="AA92" s="583"/>
      <c r="AB92" s="666">
        <f t="shared" si="26"/>
        <v>0</v>
      </c>
      <c r="AC92" s="692">
        <f t="shared" si="27"/>
        <v>0</v>
      </c>
    </row>
    <row r="93" spans="1:29" thickBot="1" x14ac:dyDescent="0.25">
      <c r="B93" s="616" t="s">
        <v>88</v>
      </c>
      <c r="C93" s="200">
        <v>0</v>
      </c>
      <c r="D93" s="201">
        <f t="shared" si="21"/>
        <v>0</v>
      </c>
      <c r="E93" s="208">
        <v>0</v>
      </c>
      <c r="F93" s="295">
        <f>E93/F$72</f>
        <v>0</v>
      </c>
      <c r="G93" s="341">
        <v>0</v>
      </c>
      <c r="H93" s="389">
        <f>G93/H$72</f>
        <v>0</v>
      </c>
      <c r="I93" s="382">
        <v>0</v>
      </c>
      <c r="J93" s="295">
        <f>I93/J$72</f>
        <v>0</v>
      </c>
      <c r="K93" s="341">
        <v>0</v>
      </c>
      <c r="L93" s="295">
        <f>K93/L$72</f>
        <v>0</v>
      </c>
      <c r="M93" s="341">
        <v>0</v>
      </c>
      <c r="N93" s="389">
        <f>M93/N$72</f>
        <v>0</v>
      </c>
      <c r="O93" s="382">
        <v>0</v>
      </c>
      <c r="P93" s="389">
        <f>O93/P$72</f>
        <v>0</v>
      </c>
      <c r="Q93" s="382">
        <v>0</v>
      </c>
      <c r="R93" s="409">
        <f>Q93/R$72</f>
        <v>0</v>
      </c>
      <c r="S93" s="382">
        <f>0</f>
        <v>0</v>
      </c>
      <c r="T93" s="409">
        <f>S93/T$72</f>
        <v>0</v>
      </c>
      <c r="U93" s="382">
        <v>0</v>
      </c>
      <c r="V93" s="409">
        <f>U93/V$72</f>
        <v>0</v>
      </c>
      <c r="W93" s="382">
        <v>0</v>
      </c>
      <c r="X93" s="409">
        <f>W93/X$72</f>
        <v>0</v>
      </c>
      <c r="Y93" s="382">
        <v>0</v>
      </c>
      <c r="Z93" s="409">
        <f>Y93/Z$72</f>
        <v>0</v>
      </c>
      <c r="AA93" s="583"/>
      <c r="AB93" s="667">
        <f t="shared" si="26"/>
        <v>0</v>
      </c>
      <c r="AC93" s="693">
        <f t="shared" si="27"/>
        <v>0</v>
      </c>
    </row>
    <row r="94" spans="1:29" thickTop="1" x14ac:dyDescent="0.2">
      <c r="A94" s="583"/>
      <c r="B94" s="613" t="s">
        <v>115</v>
      </c>
      <c r="C94" s="119"/>
      <c r="D94" s="619"/>
      <c r="E94" s="582"/>
      <c r="F94" s="617"/>
      <c r="G94" s="582"/>
      <c r="H94" s="617"/>
      <c r="I94" s="582"/>
      <c r="J94" s="617"/>
      <c r="K94" s="582"/>
      <c r="L94" s="617"/>
      <c r="M94" s="611"/>
      <c r="N94" s="825"/>
      <c r="O94" s="611"/>
      <c r="P94" s="825"/>
      <c r="Q94" s="611"/>
      <c r="R94" s="981"/>
      <c r="S94" s="611"/>
      <c r="T94" s="981"/>
      <c r="U94" s="611"/>
      <c r="V94" s="981"/>
      <c r="W94" s="611"/>
      <c r="X94" s="981"/>
      <c r="Y94" s="611"/>
      <c r="Z94" s="981"/>
      <c r="AA94" s="583"/>
      <c r="AC94" s="583"/>
    </row>
    <row r="95" spans="1:29" ht="12" x14ac:dyDescent="0.2">
      <c r="A95" s="583"/>
      <c r="B95" s="614"/>
      <c r="C95" s="120" t="s">
        <v>89</v>
      </c>
      <c r="D95" s="618" t="s">
        <v>16</v>
      </c>
      <c r="E95" s="120" t="s">
        <v>89</v>
      </c>
      <c r="F95" s="618" t="s">
        <v>16</v>
      </c>
      <c r="G95" s="120" t="s">
        <v>89</v>
      </c>
      <c r="H95" s="618" t="s">
        <v>16</v>
      </c>
      <c r="I95" s="120" t="s">
        <v>89</v>
      </c>
      <c r="J95" s="618" t="s">
        <v>16</v>
      </c>
      <c r="K95" s="120" t="s">
        <v>89</v>
      </c>
      <c r="L95" s="618" t="s">
        <v>16</v>
      </c>
      <c r="M95" s="120" t="s">
        <v>89</v>
      </c>
      <c r="N95" s="618" t="s">
        <v>16</v>
      </c>
      <c r="O95" s="120" t="s">
        <v>89</v>
      </c>
      <c r="P95" s="618" t="s">
        <v>16</v>
      </c>
      <c r="Q95" s="272" t="s">
        <v>89</v>
      </c>
      <c r="R95" s="618" t="s">
        <v>16</v>
      </c>
      <c r="S95" s="272" t="s">
        <v>89</v>
      </c>
      <c r="T95" s="618" t="s">
        <v>16</v>
      </c>
      <c r="U95" s="272" t="s">
        <v>89</v>
      </c>
      <c r="V95" s="618" t="s">
        <v>16</v>
      </c>
      <c r="W95" s="272" t="s">
        <v>89</v>
      </c>
      <c r="X95" s="618" t="s">
        <v>16</v>
      </c>
      <c r="Y95" s="272" t="s">
        <v>89</v>
      </c>
      <c r="Z95" s="618" t="s">
        <v>16</v>
      </c>
      <c r="AA95" s="583"/>
      <c r="AB95" s="120" t="s">
        <v>89</v>
      </c>
      <c r="AC95" s="587" t="s">
        <v>16</v>
      </c>
    </row>
    <row r="96" spans="1:29" ht="12" x14ac:dyDescent="0.2">
      <c r="A96" s="583"/>
      <c r="B96" s="615" t="s">
        <v>116</v>
      </c>
      <c r="C96" s="120">
        <v>6</v>
      </c>
      <c r="D96" s="784">
        <v>2.2000000000000002</v>
      </c>
      <c r="E96" s="272">
        <v>11</v>
      </c>
      <c r="F96" s="620">
        <v>4.4000000000000004</v>
      </c>
      <c r="G96" s="272">
        <v>7</v>
      </c>
      <c r="H96" s="620">
        <v>2.4</v>
      </c>
      <c r="I96" s="272">
        <v>12</v>
      </c>
      <c r="J96" s="620">
        <v>4.5</v>
      </c>
      <c r="K96" s="120">
        <v>11</v>
      </c>
      <c r="L96" s="620">
        <v>4.9000000000000004</v>
      </c>
      <c r="M96" s="766">
        <v>12</v>
      </c>
      <c r="N96" s="632">
        <v>4.95</v>
      </c>
      <c r="O96" s="766">
        <v>11</v>
      </c>
      <c r="P96" s="632">
        <v>4.3499999999999996</v>
      </c>
      <c r="Q96" s="766">
        <v>11</v>
      </c>
      <c r="R96" s="377">
        <v>4.9000000000000004</v>
      </c>
      <c r="S96" s="766">
        <v>13</v>
      </c>
      <c r="T96" s="377">
        <v>5.5</v>
      </c>
      <c r="U96" s="766">
        <v>9</v>
      </c>
      <c r="V96" s="377">
        <v>3.5</v>
      </c>
      <c r="W96" s="766">
        <v>12</v>
      </c>
      <c r="X96" s="377">
        <v>3.7</v>
      </c>
      <c r="Y96" s="766">
        <v>7</v>
      </c>
      <c r="Z96" s="377">
        <v>1.5</v>
      </c>
      <c r="AA96" s="785"/>
      <c r="AB96" s="786">
        <f t="shared" ref="AB96:AB98" si="28">AVERAGE(W96,U96,S96,Q96,Y96)</f>
        <v>10.4</v>
      </c>
      <c r="AC96" s="787">
        <f t="shared" ref="AC96:AC98" si="29">AVERAGE(X96,V96,T96,R96,Z96)</f>
        <v>3.8200000000000003</v>
      </c>
    </row>
    <row r="97" spans="1:32" ht="12" x14ac:dyDescent="0.2">
      <c r="A97" s="583"/>
      <c r="B97" s="615" t="s">
        <v>117</v>
      </c>
      <c r="C97" s="120">
        <v>4</v>
      </c>
      <c r="D97" s="784">
        <v>0.8</v>
      </c>
      <c r="E97" s="272">
        <v>4</v>
      </c>
      <c r="F97" s="620">
        <v>0.8</v>
      </c>
      <c r="G97" s="272">
        <v>4</v>
      </c>
      <c r="H97" s="620">
        <v>0.8</v>
      </c>
      <c r="I97" s="272">
        <v>4</v>
      </c>
      <c r="J97" s="620">
        <v>0.8</v>
      </c>
      <c r="K97" s="120">
        <v>3</v>
      </c>
      <c r="L97" s="620">
        <v>0.6</v>
      </c>
      <c r="M97" s="766">
        <v>3</v>
      </c>
      <c r="N97" s="632">
        <v>0.5</v>
      </c>
      <c r="O97" s="766">
        <v>4</v>
      </c>
      <c r="P97" s="632">
        <v>0.8</v>
      </c>
      <c r="Q97" s="766">
        <v>2</v>
      </c>
      <c r="R97" s="377">
        <v>0.6</v>
      </c>
      <c r="S97" s="766">
        <v>5</v>
      </c>
      <c r="T97" s="377">
        <v>1</v>
      </c>
      <c r="U97" s="766">
        <v>5</v>
      </c>
      <c r="V97" s="377">
        <v>1</v>
      </c>
      <c r="W97" s="766">
        <v>7</v>
      </c>
      <c r="X97" s="377">
        <v>2.2999999999999998</v>
      </c>
      <c r="Y97" s="766">
        <v>6</v>
      </c>
      <c r="Z97" s="377">
        <v>1.9</v>
      </c>
      <c r="AA97" s="785"/>
      <c r="AB97" s="786">
        <f t="shared" si="28"/>
        <v>5</v>
      </c>
      <c r="AC97" s="787">
        <f t="shared" si="29"/>
        <v>1.3599999999999999</v>
      </c>
    </row>
    <row r="98" spans="1:32" thickBot="1" x14ac:dyDescent="0.25">
      <c r="A98" s="583"/>
      <c r="B98" s="616" t="s">
        <v>147</v>
      </c>
      <c r="C98" s="584">
        <v>0</v>
      </c>
      <c r="D98" s="788">
        <v>0</v>
      </c>
      <c r="E98" s="789">
        <v>0</v>
      </c>
      <c r="F98" s="621">
        <v>0</v>
      </c>
      <c r="G98" s="789">
        <v>1</v>
      </c>
      <c r="H98" s="621">
        <v>0.5</v>
      </c>
      <c r="I98" s="789">
        <v>1</v>
      </c>
      <c r="J98" s="621">
        <v>0.5</v>
      </c>
      <c r="K98" s="584">
        <v>0</v>
      </c>
      <c r="L98" s="621">
        <v>0</v>
      </c>
      <c r="M98" s="768">
        <v>0</v>
      </c>
      <c r="N98" s="859">
        <v>0</v>
      </c>
      <c r="O98" s="768">
        <v>0</v>
      </c>
      <c r="P98" s="859">
        <v>0</v>
      </c>
      <c r="Q98" s="768">
        <v>0</v>
      </c>
      <c r="R98" s="982">
        <v>0</v>
      </c>
      <c r="S98" s="768">
        <v>0</v>
      </c>
      <c r="T98" s="982">
        <v>0</v>
      </c>
      <c r="U98" s="768">
        <v>0</v>
      </c>
      <c r="V98" s="982">
        <v>0</v>
      </c>
      <c r="W98" s="768">
        <v>0</v>
      </c>
      <c r="X98" s="982">
        <v>0</v>
      </c>
      <c r="Y98" s="768">
        <v>0</v>
      </c>
      <c r="Z98" s="982">
        <v>0</v>
      </c>
      <c r="AA98" s="785"/>
      <c r="AB98" s="790">
        <f t="shared" si="28"/>
        <v>0</v>
      </c>
      <c r="AC98" s="791">
        <f t="shared" si="29"/>
        <v>0</v>
      </c>
      <c r="AF98" s="59"/>
    </row>
    <row r="99" spans="1:32" ht="14.25" customHeight="1" thickTop="1" thickBot="1" x14ac:dyDescent="0.3">
      <c r="A99" s="626"/>
      <c r="B99" s="628"/>
      <c r="C99" s="1141" t="s">
        <v>41</v>
      </c>
      <c r="D99" s="1142"/>
      <c r="E99" s="1141" t="s">
        <v>42</v>
      </c>
      <c r="F99" s="1142"/>
      <c r="G99" s="1145" t="s">
        <v>132</v>
      </c>
      <c r="H99" s="1146"/>
      <c r="I99" s="1145" t="s">
        <v>133</v>
      </c>
      <c r="J99" s="1146"/>
      <c r="K99" s="1145" t="s">
        <v>134</v>
      </c>
      <c r="L99" s="1146"/>
      <c r="M99" s="1149" t="s">
        <v>135</v>
      </c>
      <c r="N99" s="1136"/>
      <c r="O99" s="1135" t="s">
        <v>171</v>
      </c>
      <c r="P99" s="1136"/>
      <c r="Q99" s="1135" t="s">
        <v>170</v>
      </c>
      <c r="R99" s="1136"/>
      <c r="S99" s="1135" t="s">
        <v>177</v>
      </c>
      <c r="T99" s="1136"/>
      <c r="U99" s="1135" t="s">
        <v>180</v>
      </c>
      <c r="V99" s="1136"/>
      <c r="W99" s="1135" t="s">
        <v>184</v>
      </c>
      <c r="X99" s="1136"/>
      <c r="Y99" s="1135" t="s">
        <v>188</v>
      </c>
      <c r="Z99" s="1136"/>
      <c r="AA99" s="964"/>
      <c r="AB99" s="103"/>
      <c r="AC99" s="605"/>
    </row>
    <row r="100" spans="1:32" x14ac:dyDescent="0.2">
      <c r="B100" s="627" t="s">
        <v>143</v>
      </c>
      <c r="C100" s="1"/>
      <c r="D100" s="639"/>
      <c r="E100" s="660"/>
      <c r="F100" s="688"/>
      <c r="G100" s="661"/>
      <c r="H100" s="662"/>
      <c r="I100" s="631"/>
      <c r="J100" s="632"/>
      <c r="K100" s="630"/>
      <c r="L100" s="659"/>
      <c r="M100" s="630"/>
      <c r="N100" s="657"/>
      <c r="O100" s="947"/>
      <c r="P100" s="948"/>
      <c r="Q100" s="1044"/>
      <c r="R100" s="1045"/>
      <c r="S100" s="1044"/>
      <c r="T100" s="1045"/>
      <c r="U100" s="245"/>
      <c r="V100" s="918"/>
      <c r="W100" s="1044"/>
      <c r="X100" s="1045"/>
      <c r="Y100" s="1044"/>
      <c r="Z100" s="1045"/>
      <c r="AA100" s="59"/>
      <c r="AB100" s="59"/>
      <c r="AC100" s="59"/>
    </row>
    <row r="101" spans="1:32" ht="12" x14ac:dyDescent="0.2">
      <c r="A101" s="583"/>
      <c r="B101" s="651" t="s">
        <v>122</v>
      </c>
      <c r="C101" s="1202">
        <v>6.2</v>
      </c>
      <c r="D101" s="1203"/>
      <c r="E101" s="629"/>
      <c r="F101" s="689"/>
      <c r="G101" s="630"/>
      <c r="H101" s="657"/>
      <c r="I101" s="1137">
        <v>5.25</v>
      </c>
      <c r="J101" s="1138"/>
      <c r="K101" s="638"/>
      <c r="L101" s="690"/>
      <c r="M101" s="638"/>
      <c r="N101" s="657"/>
      <c r="O101" s="952"/>
      <c r="P101" s="953">
        <v>13.1</v>
      </c>
      <c r="Q101" s="1046"/>
      <c r="R101" s="1045"/>
      <c r="S101" s="1046"/>
      <c r="T101" s="1045"/>
      <c r="U101" s="253"/>
      <c r="V101" s="953">
        <v>13</v>
      </c>
      <c r="W101" s="1046"/>
      <c r="X101" s="1045"/>
      <c r="Y101" s="1046"/>
      <c r="Z101" s="1045"/>
      <c r="AA101" s="59"/>
      <c r="AB101" s="59"/>
      <c r="AC101" s="949"/>
    </row>
    <row r="102" spans="1:32" ht="12" customHeight="1" x14ac:dyDescent="0.2">
      <c r="A102" s="583"/>
      <c r="B102" s="652" t="s">
        <v>123</v>
      </c>
      <c r="C102" s="1202">
        <v>0</v>
      </c>
      <c r="D102" s="1203"/>
      <c r="E102" s="629"/>
      <c r="F102" s="689"/>
      <c r="G102" s="630"/>
      <c r="H102" s="657"/>
      <c r="I102" s="1137">
        <v>0</v>
      </c>
      <c r="J102" s="1138"/>
      <c r="K102" s="638"/>
      <c r="L102" s="690"/>
      <c r="M102" s="638"/>
      <c r="N102" s="657"/>
      <c r="O102" s="952"/>
      <c r="P102" s="953"/>
      <c r="Q102" s="1046"/>
      <c r="R102" s="1045"/>
      <c r="S102" s="1046"/>
      <c r="T102" s="1045"/>
      <c r="U102" s="253"/>
      <c r="V102" s="953"/>
      <c r="W102" s="1046"/>
      <c r="X102" s="1045"/>
      <c r="Y102" s="1046"/>
      <c r="Z102" s="1045"/>
      <c r="AA102" s="59"/>
      <c r="AB102" s="59"/>
      <c r="AC102" s="949"/>
    </row>
    <row r="103" spans="1:32" ht="12" customHeight="1" x14ac:dyDescent="0.2">
      <c r="A103" s="583"/>
      <c r="B103" s="652" t="s">
        <v>124</v>
      </c>
      <c r="C103" s="1202"/>
      <c r="D103" s="1203"/>
      <c r="E103" s="629"/>
      <c r="F103" s="689"/>
      <c r="G103" s="630"/>
      <c r="H103" s="657"/>
      <c r="I103" s="1137"/>
      <c r="J103" s="1138"/>
      <c r="K103" s="638"/>
      <c r="L103" s="690"/>
      <c r="M103" s="638"/>
      <c r="N103" s="657"/>
      <c r="O103" s="952"/>
      <c r="P103" s="953">
        <v>0</v>
      </c>
      <c r="Q103" s="1046"/>
      <c r="R103" s="1045"/>
      <c r="S103" s="1046"/>
      <c r="T103" s="1045"/>
      <c r="U103" s="253"/>
      <c r="V103" s="953">
        <v>0</v>
      </c>
      <c r="W103" s="1046"/>
      <c r="X103" s="1045"/>
      <c r="Y103" s="1046"/>
      <c r="Z103" s="1045"/>
      <c r="AA103" s="59"/>
      <c r="AB103" s="59"/>
      <c r="AC103" s="949"/>
    </row>
    <row r="104" spans="1:32" ht="12" x14ac:dyDescent="0.2">
      <c r="A104" s="583"/>
      <c r="B104" s="651" t="s">
        <v>125</v>
      </c>
      <c r="C104" s="1202">
        <v>0.8</v>
      </c>
      <c r="D104" s="1203"/>
      <c r="E104" s="629"/>
      <c r="F104" s="689"/>
      <c r="G104" s="630"/>
      <c r="H104" s="657"/>
      <c r="I104" s="1137">
        <v>0.8</v>
      </c>
      <c r="J104" s="1138"/>
      <c r="K104" s="638"/>
      <c r="L104" s="690"/>
      <c r="M104" s="638"/>
      <c r="N104" s="657"/>
      <c r="O104" s="952"/>
      <c r="P104" s="953">
        <v>0.8</v>
      </c>
      <c r="Q104" s="1046"/>
      <c r="R104" s="1045"/>
      <c r="S104" s="1046"/>
      <c r="T104" s="1045"/>
      <c r="U104" s="253"/>
      <c r="V104" s="953">
        <v>1</v>
      </c>
      <c r="W104" s="1046"/>
      <c r="X104" s="1045"/>
      <c r="Y104" s="1046"/>
      <c r="Z104" s="1045"/>
      <c r="AA104" s="59"/>
      <c r="AB104" s="59"/>
      <c r="AC104" s="949"/>
    </row>
    <row r="105" spans="1:32" ht="12" x14ac:dyDescent="0.2">
      <c r="A105" s="583"/>
      <c r="B105" s="653" t="s">
        <v>126</v>
      </c>
      <c r="C105" s="1202">
        <v>8.9499999999999993</v>
      </c>
      <c r="D105" s="1203"/>
      <c r="E105" s="629"/>
      <c r="F105" s="689"/>
      <c r="G105" s="630"/>
      <c r="H105" s="657"/>
      <c r="I105" s="1137">
        <v>9.65</v>
      </c>
      <c r="J105" s="1138"/>
      <c r="K105" s="638"/>
      <c r="L105" s="690"/>
      <c r="M105" s="638"/>
      <c r="N105" s="657"/>
      <c r="O105" s="952"/>
      <c r="P105" s="953">
        <v>9</v>
      </c>
      <c r="Q105" s="1046"/>
      <c r="R105" s="1045"/>
      <c r="S105" s="1046"/>
      <c r="T105" s="1045"/>
      <c r="U105" s="253"/>
      <c r="V105" s="953">
        <f>10+0.6</f>
        <v>10.6</v>
      </c>
      <c r="W105" s="1046"/>
      <c r="X105" s="1045"/>
      <c r="Y105" s="1046"/>
      <c r="Z105" s="1045"/>
      <c r="AA105" s="59"/>
      <c r="AB105" s="59"/>
      <c r="AC105" s="949"/>
    </row>
    <row r="106" spans="1:32" ht="12" x14ac:dyDescent="0.2">
      <c r="A106" s="583"/>
      <c r="B106" s="653" t="s">
        <v>127</v>
      </c>
      <c r="C106" s="1202">
        <f>SUM(C101:D105)</f>
        <v>15.95</v>
      </c>
      <c r="D106" s="1203"/>
      <c r="E106" s="629"/>
      <c r="F106" s="689"/>
      <c r="G106" s="630"/>
      <c r="H106" s="657"/>
      <c r="I106" s="1137">
        <f>SUM(I101:J105)</f>
        <v>15.7</v>
      </c>
      <c r="J106" s="1138"/>
      <c r="K106" s="638"/>
      <c r="L106" s="690"/>
      <c r="M106" s="638"/>
      <c r="N106" s="657"/>
      <c r="O106" s="952"/>
      <c r="P106" s="953">
        <f>SUM(P101:P105)</f>
        <v>22.9</v>
      </c>
      <c r="Q106" s="1046"/>
      <c r="R106" s="1045"/>
      <c r="S106" s="1046"/>
      <c r="T106" s="1045"/>
      <c r="U106" s="253"/>
      <c r="V106" s="953">
        <f>SUM(V101:V105)</f>
        <v>24.6</v>
      </c>
      <c r="W106" s="1046"/>
      <c r="X106" s="1045"/>
      <c r="Y106" s="1046"/>
      <c r="Z106" s="1045"/>
      <c r="AA106" s="59"/>
      <c r="AB106" s="59"/>
      <c r="AC106" s="949"/>
    </row>
    <row r="107" spans="1:32" thickBot="1" x14ac:dyDescent="0.25">
      <c r="A107" s="583"/>
      <c r="B107" s="654" t="s">
        <v>137</v>
      </c>
      <c r="C107" s="1202"/>
      <c r="D107" s="1203"/>
      <c r="E107" s="629"/>
      <c r="F107" s="689"/>
      <c r="G107" s="630"/>
      <c r="H107" s="657"/>
      <c r="I107" s="1202"/>
      <c r="J107" s="1203"/>
      <c r="K107" s="638"/>
      <c r="L107" s="690"/>
      <c r="M107" s="638"/>
      <c r="N107" s="657"/>
      <c r="O107" s="952"/>
      <c r="P107" s="918"/>
      <c r="Q107" s="1046"/>
      <c r="R107" s="1045"/>
      <c r="S107" s="1046"/>
      <c r="T107" s="1045"/>
      <c r="U107" s="253"/>
      <c r="V107" s="918"/>
      <c r="W107" s="1046"/>
      <c r="X107" s="1045"/>
      <c r="Y107" s="1046"/>
      <c r="Z107" s="1045"/>
      <c r="AA107" s="59"/>
      <c r="AB107" s="59"/>
      <c r="AC107" s="949"/>
    </row>
    <row r="108" spans="1:32" ht="12" x14ac:dyDescent="0.2">
      <c r="A108" s="583"/>
      <c r="B108" s="651" t="s">
        <v>128</v>
      </c>
      <c r="C108" s="1212">
        <v>2889</v>
      </c>
      <c r="D108" s="1213"/>
      <c r="E108" s="629"/>
      <c r="F108" s="689"/>
      <c r="G108" s="630"/>
      <c r="H108" s="657"/>
      <c r="I108" s="1212">
        <v>1578</v>
      </c>
      <c r="J108" s="1213"/>
      <c r="K108" s="638"/>
      <c r="L108" s="690"/>
      <c r="M108" s="638"/>
      <c r="N108" s="657"/>
      <c r="O108" s="957"/>
      <c r="P108" s="958">
        <v>2456</v>
      </c>
      <c r="Q108" s="1046"/>
      <c r="R108" s="1045"/>
      <c r="S108" s="1046"/>
      <c r="T108" s="1045"/>
      <c r="U108" s="253"/>
      <c r="V108" s="958">
        <v>1890</v>
      </c>
      <c r="W108" s="1046"/>
      <c r="X108" s="1045"/>
      <c r="Y108" s="1046"/>
      <c r="Z108" s="1045"/>
      <c r="AA108" s="59"/>
      <c r="AB108" s="59"/>
      <c r="AC108" s="738"/>
    </row>
    <row r="109" spans="1:32" ht="12" x14ac:dyDescent="0.2">
      <c r="A109" s="583"/>
      <c r="B109" s="653" t="s">
        <v>129</v>
      </c>
      <c r="C109" s="1212">
        <v>0</v>
      </c>
      <c r="D109" s="1213"/>
      <c r="E109" s="629"/>
      <c r="F109" s="689"/>
      <c r="G109" s="630"/>
      <c r="H109" s="657"/>
      <c r="I109" s="1212">
        <v>0</v>
      </c>
      <c r="J109" s="1213"/>
      <c r="K109" s="638"/>
      <c r="L109" s="690"/>
      <c r="M109" s="638"/>
      <c r="N109" s="657"/>
      <c r="O109" s="957"/>
      <c r="P109" s="958">
        <v>0</v>
      </c>
      <c r="Q109" s="1046"/>
      <c r="R109" s="1045"/>
      <c r="S109" s="1046"/>
      <c r="T109" s="1045"/>
      <c r="U109" s="253"/>
      <c r="V109" s="958">
        <v>0</v>
      </c>
      <c r="W109" s="1046"/>
      <c r="X109" s="1045"/>
      <c r="Y109" s="1046"/>
      <c r="Z109" s="1045"/>
      <c r="AA109" s="59"/>
      <c r="AB109" s="59"/>
      <c r="AC109" s="738"/>
    </row>
    <row r="110" spans="1:32" ht="12" x14ac:dyDescent="0.2">
      <c r="A110" s="583"/>
      <c r="B110" s="653" t="s">
        <v>130</v>
      </c>
      <c r="C110" s="1212">
        <v>5814</v>
      </c>
      <c r="D110" s="1213"/>
      <c r="E110" s="629"/>
      <c r="F110" s="689"/>
      <c r="G110" s="630"/>
      <c r="H110" s="657"/>
      <c r="I110" s="1212">
        <v>6444</v>
      </c>
      <c r="J110" s="1213"/>
      <c r="K110" s="638"/>
      <c r="L110" s="690"/>
      <c r="M110" s="638"/>
      <c r="N110" s="657"/>
      <c r="O110" s="957"/>
      <c r="P110" s="958">
        <f>5172+687</f>
        <v>5859</v>
      </c>
      <c r="Q110" s="1046"/>
      <c r="R110" s="1045"/>
      <c r="S110" s="1046"/>
      <c r="T110" s="1045"/>
      <c r="U110" s="253"/>
      <c r="V110" s="958">
        <f>5607+678</f>
        <v>6285</v>
      </c>
      <c r="W110" s="1046"/>
      <c r="X110" s="1045"/>
      <c r="Y110" s="1046"/>
      <c r="Z110" s="1045"/>
      <c r="AA110" s="59"/>
      <c r="AB110" s="59"/>
      <c r="AC110" s="738"/>
    </row>
    <row r="111" spans="1:32" ht="12" x14ac:dyDescent="0.2">
      <c r="A111" s="583"/>
      <c r="B111" s="653" t="s">
        <v>142</v>
      </c>
      <c r="C111" s="1212">
        <f>SUM(C108:D110)</f>
        <v>8703</v>
      </c>
      <c r="D111" s="1213"/>
      <c r="E111" s="629"/>
      <c r="F111" s="689"/>
      <c r="G111" s="630"/>
      <c r="H111" s="657"/>
      <c r="I111" s="1212">
        <f>SUM(I108:J110)</f>
        <v>8022</v>
      </c>
      <c r="J111" s="1213"/>
      <c r="K111" s="638"/>
      <c r="L111" s="690"/>
      <c r="M111" s="638"/>
      <c r="N111" s="657"/>
      <c r="O111" s="957"/>
      <c r="P111" s="958">
        <f>SUM(P108:P110)</f>
        <v>8315</v>
      </c>
      <c r="Q111" s="1046"/>
      <c r="R111" s="1045"/>
      <c r="S111" s="1046"/>
      <c r="T111" s="1045"/>
      <c r="U111" s="253"/>
      <c r="V111" s="958">
        <f>SUM(V108:V110)</f>
        <v>8175</v>
      </c>
      <c r="W111" s="1046"/>
      <c r="X111" s="1045"/>
      <c r="Y111" s="1046"/>
      <c r="Z111" s="1045"/>
      <c r="AA111" s="59"/>
      <c r="AB111" s="59"/>
      <c r="AC111" s="738"/>
    </row>
    <row r="112" spans="1:32" thickBot="1" x14ac:dyDescent="0.25">
      <c r="A112" s="583"/>
      <c r="B112" s="654" t="s">
        <v>138</v>
      </c>
      <c r="C112" s="1137"/>
      <c r="D112" s="1138"/>
      <c r="E112" s="629"/>
      <c r="F112" s="689"/>
      <c r="G112" s="630"/>
      <c r="H112" s="657"/>
      <c r="I112" s="1139"/>
      <c r="J112" s="1140"/>
      <c r="K112" s="638"/>
      <c r="L112" s="690"/>
      <c r="M112" s="638"/>
      <c r="N112" s="657"/>
      <c r="O112" s="959"/>
      <c r="P112" s="953"/>
      <c r="Q112" s="1046"/>
      <c r="R112" s="1045"/>
      <c r="S112" s="1046"/>
      <c r="T112" s="1045"/>
      <c r="U112" s="253"/>
      <c r="V112" s="953"/>
      <c r="W112" s="1046"/>
      <c r="X112" s="1045"/>
      <c r="Y112" s="1046"/>
      <c r="Z112" s="1045"/>
      <c r="AA112" s="59"/>
      <c r="AB112" s="59"/>
      <c r="AC112" s="738"/>
    </row>
    <row r="113" spans="1:29" ht="12" x14ac:dyDescent="0.2">
      <c r="A113" s="583"/>
      <c r="B113" s="651" t="s">
        <v>139</v>
      </c>
      <c r="C113" s="1137">
        <f>C108/C101</f>
        <v>465.96774193548384</v>
      </c>
      <c r="D113" s="1138"/>
      <c r="E113" s="747"/>
      <c r="F113" s="748"/>
      <c r="G113" s="749"/>
      <c r="H113" s="750"/>
      <c r="I113" s="1139">
        <f>I108/I101</f>
        <v>300.57142857142856</v>
      </c>
      <c r="J113" s="1140"/>
      <c r="K113" s="638"/>
      <c r="L113" s="691"/>
      <c r="M113" s="638"/>
      <c r="N113" s="657"/>
      <c r="O113" s="959"/>
      <c r="P113" s="960">
        <f>P108/P101</f>
        <v>187.48091603053436</v>
      </c>
      <c r="Q113" s="1046"/>
      <c r="R113" s="1045"/>
      <c r="S113" s="1046"/>
      <c r="T113" s="1045"/>
      <c r="U113" s="253"/>
      <c r="V113" s="960">
        <f>V108/V101</f>
        <v>145.38461538461539</v>
      </c>
      <c r="W113" s="1046"/>
      <c r="X113" s="1045"/>
      <c r="Y113" s="1046"/>
      <c r="Z113" s="1045"/>
      <c r="AA113" s="59"/>
      <c r="AB113" s="59"/>
      <c r="AC113" s="738"/>
    </row>
    <row r="114" spans="1:29" ht="12" x14ac:dyDescent="0.2">
      <c r="A114" s="583"/>
      <c r="B114" s="653" t="s">
        <v>140</v>
      </c>
      <c r="C114" s="1137">
        <f>C109/SUM(C102:D104)</f>
        <v>0</v>
      </c>
      <c r="D114" s="1138"/>
      <c r="E114" s="747"/>
      <c r="F114" s="748"/>
      <c r="G114" s="749"/>
      <c r="H114" s="750"/>
      <c r="I114" s="1139">
        <f>I109/SUM(I102:J104)</f>
        <v>0</v>
      </c>
      <c r="J114" s="1140"/>
      <c r="K114" s="638"/>
      <c r="L114" s="691"/>
      <c r="M114" s="638"/>
      <c r="N114" s="657"/>
      <c r="O114" s="959"/>
      <c r="P114" s="960">
        <v>0</v>
      </c>
      <c r="Q114" s="1046"/>
      <c r="R114" s="1045"/>
      <c r="S114" s="1046"/>
      <c r="T114" s="1045"/>
      <c r="U114" s="253"/>
      <c r="V114" s="960">
        <f>V109/(V103+V104)</f>
        <v>0</v>
      </c>
      <c r="W114" s="1046"/>
      <c r="X114" s="1045"/>
      <c r="Y114" s="1046"/>
      <c r="Z114" s="1045"/>
      <c r="AA114" s="59"/>
      <c r="AB114" s="59"/>
      <c r="AC114" s="738"/>
    </row>
    <row r="115" spans="1:29" ht="12" x14ac:dyDescent="0.2">
      <c r="A115" s="583"/>
      <c r="B115" s="653" t="s">
        <v>141</v>
      </c>
      <c r="C115" s="1137">
        <f>C110/C105</f>
        <v>649.6089385474861</v>
      </c>
      <c r="D115" s="1138"/>
      <c r="E115" s="747"/>
      <c r="F115" s="748"/>
      <c r="G115" s="749"/>
      <c r="H115" s="750"/>
      <c r="I115" s="1139">
        <f>I110/I105</f>
        <v>667.77202072538853</v>
      </c>
      <c r="J115" s="1140"/>
      <c r="K115" s="638"/>
      <c r="L115" s="691"/>
      <c r="M115" s="638"/>
      <c r="N115" s="657"/>
      <c r="O115" s="959"/>
      <c r="P115" s="960">
        <f>P110/P105</f>
        <v>651</v>
      </c>
      <c r="Q115" s="1046"/>
      <c r="R115" s="1045"/>
      <c r="S115" s="1046"/>
      <c r="T115" s="1045"/>
      <c r="U115" s="253"/>
      <c r="V115" s="960">
        <f>V110/V105</f>
        <v>592.92452830188677</v>
      </c>
      <c r="W115" s="1046"/>
      <c r="X115" s="1045"/>
      <c r="Y115" s="1046"/>
      <c r="Z115" s="1045"/>
      <c r="AA115" s="59"/>
      <c r="AB115" s="59"/>
      <c r="AC115" s="738"/>
    </row>
    <row r="116" spans="1:29" thickBot="1" x14ac:dyDescent="0.25">
      <c r="A116" s="583"/>
      <c r="B116" s="656" t="s">
        <v>131</v>
      </c>
      <c r="C116" s="1143">
        <f>C111/C106</f>
        <v>545.64263322884017</v>
      </c>
      <c r="D116" s="1144"/>
      <c r="E116" s="751"/>
      <c r="F116" s="752"/>
      <c r="G116" s="753"/>
      <c r="H116" s="754"/>
      <c r="I116" s="1223">
        <f>I111/I106</f>
        <v>510.95541401273886</v>
      </c>
      <c r="J116" s="1224"/>
      <c r="K116" s="655"/>
      <c r="L116" s="658"/>
      <c r="M116" s="655"/>
      <c r="N116" s="658"/>
      <c r="O116" s="961"/>
      <c r="P116" s="962">
        <f>P111/P106</f>
        <v>363.10043668122273</v>
      </c>
      <c r="Q116" s="1047"/>
      <c r="R116" s="1048"/>
      <c r="S116" s="1047"/>
      <c r="T116" s="1048"/>
      <c r="U116" s="301"/>
      <c r="V116" s="962">
        <f>V111/V106</f>
        <v>332.3170731707317</v>
      </c>
      <c r="W116" s="1047"/>
      <c r="X116" s="1048"/>
      <c r="Y116" s="1047"/>
      <c r="Z116" s="1048"/>
      <c r="AA116" s="59"/>
      <c r="AB116" s="59"/>
      <c r="AC116" s="738"/>
    </row>
    <row r="117" spans="1:29" thickTop="1" x14ac:dyDescent="0.2">
      <c r="B117" s="1" t="str">
        <f>'bus sum'!B117</f>
        <v>*Note: For the 2009 collection cycle and later, Instructional FTE was defined according to the national Delaware Study of Instructional Costs and Productivity</v>
      </c>
      <c r="C117" s="1"/>
      <c r="D117" s="1"/>
      <c r="E117" s="1"/>
      <c r="F117" s="1"/>
      <c r="G117" s="245"/>
      <c r="H117" s="245"/>
      <c r="I117" s="245"/>
      <c r="J117" s="245"/>
      <c r="AC117" s="59"/>
    </row>
    <row r="118" spans="1:29" ht="12" x14ac:dyDescent="0.2">
      <c r="C118" s="1"/>
      <c r="D118" s="1"/>
      <c r="E118" s="1"/>
      <c r="F118" s="1"/>
      <c r="G118" s="245"/>
      <c r="H118" s="245"/>
      <c r="I118" s="245"/>
      <c r="J118" s="245"/>
    </row>
    <row r="119" spans="1:29" ht="12" x14ac:dyDescent="0.2">
      <c r="C119" s="1"/>
      <c r="D119" s="1"/>
      <c r="E119" s="1"/>
      <c r="F119" s="1"/>
      <c r="G119" s="245"/>
      <c r="H119" s="245"/>
      <c r="I119" s="245"/>
      <c r="J119" s="245"/>
    </row>
    <row r="120" spans="1:29" ht="12" x14ac:dyDescent="0.2">
      <c r="C120" s="1"/>
      <c r="D120" s="1"/>
      <c r="E120" s="1"/>
      <c r="F120" s="1"/>
      <c r="G120" s="245"/>
      <c r="H120" s="245"/>
      <c r="I120" s="245"/>
      <c r="J120" s="245"/>
    </row>
    <row r="121" spans="1:29" ht="12" x14ac:dyDescent="0.2">
      <c r="C121" s="1"/>
      <c r="D121" s="1"/>
      <c r="E121" s="1"/>
      <c r="F121" s="1"/>
      <c r="G121" s="245"/>
      <c r="H121" s="245"/>
      <c r="I121" s="245"/>
      <c r="J121" s="245"/>
    </row>
    <row r="122" spans="1:29" ht="12" x14ac:dyDescent="0.2">
      <c r="C122" s="1"/>
      <c r="D122" s="1"/>
      <c r="E122" s="1"/>
      <c r="F122" s="1"/>
      <c r="G122" s="245"/>
      <c r="H122" s="245"/>
      <c r="I122" s="245"/>
      <c r="J122" s="245"/>
    </row>
    <row r="123" spans="1:29" ht="12" x14ac:dyDescent="0.2">
      <c r="C123" s="1"/>
      <c r="D123" s="1"/>
      <c r="E123" s="1"/>
      <c r="F123" s="1"/>
      <c r="G123" s="245"/>
      <c r="H123" s="245"/>
      <c r="I123" s="245"/>
      <c r="J123" s="245"/>
    </row>
    <row r="124" spans="1:29" ht="12" x14ac:dyDescent="0.2">
      <c r="C124" s="1"/>
      <c r="D124" s="1"/>
      <c r="E124" s="1"/>
      <c r="F124" s="1"/>
      <c r="G124" s="245"/>
      <c r="H124" s="245"/>
      <c r="I124" s="245"/>
      <c r="J124" s="245"/>
    </row>
    <row r="125" spans="1:29" ht="12" x14ac:dyDescent="0.2">
      <c r="C125" s="1"/>
      <c r="D125" s="1"/>
      <c r="E125" s="1"/>
      <c r="F125" s="1"/>
      <c r="G125" s="245"/>
      <c r="H125" s="245"/>
      <c r="I125" s="245"/>
      <c r="J125" s="245"/>
    </row>
    <row r="126" spans="1:29" ht="12" x14ac:dyDescent="0.2">
      <c r="C126" s="1"/>
      <c r="D126" s="1"/>
      <c r="E126" s="1"/>
      <c r="F126" s="1"/>
      <c r="G126" s="245"/>
      <c r="H126" s="245"/>
      <c r="I126" s="245"/>
      <c r="J126" s="245"/>
    </row>
    <row r="127" spans="1:29" ht="12" x14ac:dyDescent="0.2">
      <c r="C127" s="1"/>
      <c r="D127" s="1"/>
      <c r="E127" s="1"/>
      <c r="F127" s="1"/>
      <c r="G127" s="245"/>
      <c r="H127" s="245"/>
      <c r="I127" s="245"/>
      <c r="J127" s="245"/>
    </row>
    <row r="128" spans="1:29" ht="12" x14ac:dyDescent="0.2">
      <c r="C128" s="1"/>
      <c r="D128" s="1"/>
      <c r="E128" s="1"/>
      <c r="F128" s="1"/>
      <c r="G128" s="245"/>
      <c r="H128" s="245"/>
      <c r="I128" s="245"/>
      <c r="J128" s="245"/>
    </row>
    <row r="129" spans="3:29" ht="12" x14ac:dyDescent="0.2">
      <c r="C129" s="1"/>
      <c r="D129" s="1"/>
      <c r="E129" s="1"/>
      <c r="F129" s="1"/>
      <c r="G129" s="245"/>
      <c r="H129" s="245"/>
      <c r="I129" s="245"/>
      <c r="J129" s="245"/>
    </row>
    <row r="130" spans="3:29" ht="12" x14ac:dyDescent="0.2">
      <c r="C130" s="1"/>
      <c r="D130" s="1"/>
      <c r="E130" s="1"/>
      <c r="F130" s="1"/>
      <c r="G130" s="245"/>
      <c r="H130" s="245"/>
      <c r="I130" s="245"/>
      <c r="J130" s="245"/>
    </row>
    <row r="131" spans="3:29" ht="12" x14ac:dyDescent="0.2">
      <c r="C131" s="1"/>
      <c r="D131" s="1"/>
      <c r="E131" s="1"/>
      <c r="F131" s="1"/>
      <c r="G131" s="245"/>
      <c r="H131" s="245"/>
      <c r="I131" s="245"/>
      <c r="J131" s="245"/>
      <c r="AC131" s="59"/>
    </row>
    <row r="132" spans="3:29" ht="12" x14ac:dyDescent="0.2">
      <c r="C132" s="1"/>
      <c r="D132" s="1"/>
      <c r="E132" s="1"/>
      <c r="F132" s="1"/>
      <c r="G132" s="245"/>
      <c r="H132" s="245"/>
      <c r="I132" s="245"/>
      <c r="J132" s="245"/>
      <c r="AC132" s="59"/>
    </row>
    <row r="133" spans="3:29" ht="12" x14ac:dyDescent="0.2">
      <c r="C133" s="1"/>
      <c r="D133" s="1"/>
      <c r="E133" s="1"/>
      <c r="F133" s="1"/>
      <c r="G133" s="245"/>
      <c r="H133" s="245"/>
      <c r="I133" s="245"/>
      <c r="J133" s="245"/>
    </row>
    <row r="134" spans="3:29" ht="12" x14ac:dyDescent="0.2">
      <c r="C134" s="1"/>
      <c r="D134" s="1"/>
      <c r="E134" s="1"/>
      <c r="F134" s="1"/>
      <c r="G134" s="245"/>
      <c r="H134" s="245"/>
      <c r="I134" s="245"/>
      <c r="J134" s="245"/>
    </row>
    <row r="135" spans="3:29" ht="12" x14ac:dyDescent="0.2">
      <c r="C135" s="1"/>
      <c r="D135" s="1"/>
      <c r="E135" s="1"/>
      <c r="F135" s="1"/>
      <c r="G135" s="245"/>
      <c r="H135" s="245"/>
      <c r="I135" s="245"/>
      <c r="J135" s="245"/>
    </row>
    <row r="136" spans="3:29" ht="12" x14ac:dyDescent="0.2">
      <c r="C136" s="1"/>
      <c r="D136" s="1"/>
      <c r="E136" s="1"/>
      <c r="F136" s="1"/>
      <c r="G136" s="245"/>
      <c r="H136" s="245"/>
      <c r="I136" s="245"/>
      <c r="J136" s="245"/>
    </row>
    <row r="137" spans="3:29" ht="12" x14ac:dyDescent="0.2">
      <c r="C137" s="1"/>
      <c r="D137" s="1"/>
      <c r="E137" s="1"/>
      <c r="F137" s="1"/>
      <c r="G137" s="245"/>
      <c r="H137" s="245"/>
      <c r="I137" s="245"/>
      <c r="J137" s="245"/>
    </row>
    <row r="138" spans="3:29" ht="12" x14ac:dyDescent="0.2">
      <c r="C138" s="1"/>
      <c r="D138" s="1"/>
      <c r="E138" s="1"/>
      <c r="F138" s="1"/>
      <c r="G138" s="245"/>
      <c r="H138" s="245"/>
      <c r="I138" s="245"/>
      <c r="J138" s="245"/>
    </row>
    <row r="139" spans="3:29" ht="12" x14ac:dyDescent="0.2">
      <c r="C139" s="1"/>
      <c r="D139" s="1"/>
      <c r="E139" s="1"/>
      <c r="F139" s="1"/>
      <c r="G139" s="245"/>
      <c r="H139" s="245"/>
      <c r="I139" s="245"/>
      <c r="J139" s="245"/>
    </row>
    <row r="140" spans="3:29" ht="12" x14ac:dyDescent="0.2">
      <c r="C140" s="1"/>
      <c r="D140" s="1"/>
      <c r="E140" s="1"/>
      <c r="F140" s="1"/>
      <c r="G140" s="245"/>
      <c r="H140" s="245"/>
      <c r="I140" s="245"/>
      <c r="J140" s="245"/>
    </row>
  </sheetData>
  <mergeCells count="124">
    <mergeCell ref="AB64:AC64"/>
    <mergeCell ref="AB6:AC6"/>
    <mergeCell ref="AB23:AC23"/>
    <mergeCell ref="Q34:R34"/>
    <mergeCell ref="Q38:R38"/>
    <mergeCell ref="AB34:AC34"/>
    <mergeCell ref="AB38:AC38"/>
    <mergeCell ref="Y6:Z6"/>
    <mergeCell ref="Y23:Z23"/>
    <mergeCell ref="Y31:Z31"/>
    <mergeCell ref="Y34:Z34"/>
    <mergeCell ref="Y38:Z38"/>
    <mergeCell ref="Y64:Z64"/>
    <mergeCell ref="W6:X6"/>
    <mergeCell ref="W23:X23"/>
    <mergeCell ref="W31:X31"/>
    <mergeCell ref="W34:X34"/>
    <mergeCell ref="W38:X38"/>
    <mergeCell ref="W64:X64"/>
    <mergeCell ref="Q6:R6"/>
    <mergeCell ref="S6:T6"/>
    <mergeCell ref="S23:T23"/>
    <mergeCell ref="S31:T31"/>
    <mergeCell ref="S34:T34"/>
    <mergeCell ref="C102:D103"/>
    <mergeCell ref="I102:J103"/>
    <mergeCell ref="C104:D104"/>
    <mergeCell ref="I104:J104"/>
    <mergeCell ref="M99:N99"/>
    <mergeCell ref="C101:D101"/>
    <mergeCell ref="I101:J101"/>
    <mergeCell ref="C99:D99"/>
    <mergeCell ref="E99:F99"/>
    <mergeCell ref="G99:H99"/>
    <mergeCell ref="I99:J99"/>
    <mergeCell ref="K99:L99"/>
    <mergeCell ref="C116:D116"/>
    <mergeCell ref="I116:J116"/>
    <mergeCell ref="C113:D113"/>
    <mergeCell ref="I113:J113"/>
    <mergeCell ref="C114:D114"/>
    <mergeCell ref="I114:J114"/>
    <mergeCell ref="C105:D105"/>
    <mergeCell ref="I105:J105"/>
    <mergeCell ref="C106:D106"/>
    <mergeCell ref="I106:J106"/>
    <mergeCell ref="I110:J110"/>
    <mergeCell ref="C107:D107"/>
    <mergeCell ref="I107:J107"/>
    <mergeCell ref="C108:D108"/>
    <mergeCell ref="I108:J108"/>
    <mergeCell ref="I109:J109"/>
    <mergeCell ref="C115:D115"/>
    <mergeCell ref="I115:J115"/>
    <mergeCell ref="C111:D111"/>
    <mergeCell ref="I111:J111"/>
    <mergeCell ref="C112:D112"/>
    <mergeCell ref="I112:J112"/>
    <mergeCell ref="C109:D109"/>
    <mergeCell ref="C110:D110"/>
    <mergeCell ref="I6:J6"/>
    <mergeCell ref="I23:J23"/>
    <mergeCell ref="I31:J31"/>
    <mergeCell ref="K6:L6"/>
    <mergeCell ref="O99:P99"/>
    <mergeCell ref="C31:D31"/>
    <mergeCell ref="E31:F31"/>
    <mergeCell ref="C32:D32"/>
    <mergeCell ref="E32:F32"/>
    <mergeCell ref="K34:L34"/>
    <mergeCell ref="I38:J38"/>
    <mergeCell ref="G38:H38"/>
    <mergeCell ref="K38:L38"/>
    <mergeCell ref="I32:J32"/>
    <mergeCell ref="I33:J33"/>
    <mergeCell ref="G31:H31"/>
    <mergeCell ref="G32:H32"/>
    <mergeCell ref="G33:H33"/>
    <mergeCell ref="G34:H34"/>
    <mergeCell ref="E34:F34"/>
    <mergeCell ref="C38:D38"/>
    <mergeCell ref="E38:F38"/>
    <mergeCell ref="I34:J34"/>
    <mergeCell ref="C33:D33"/>
    <mergeCell ref="U6:V6"/>
    <mergeCell ref="U23:V23"/>
    <mergeCell ref="U31:V31"/>
    <mergeCell ref="U34:V34"/>
    <mergeCell ref="U38:V38"/>
    <mergeCell ref="U64:V64"/>
    <mergeCell ref="M31:N31"/>
    <mergeCell ref="M6:N6"/>
    <mergeCell ref="M23:N23"/>
    <mergeCell ref="M34:N34"/>
    <mergeCell ref="M38:N38"/>
    <mergeCell ref="M64:N64"/>
    <mergeCell ref="O38:P38"/>
    <mergeCell ref="O64:P64"/>
    <mergeCell ref="O6:P6"/>
    <mergeCell ref="O23:P23"/>
    <mergeCell ref="O31:P31"/>
    <mergeCell ref="O34:P34"/>
    <mergeCell ref="S38:T38"/>
    <mergeCell ref="S64:T64"/>
    <mergeCell ref="Q31:R31"/>
    <mergeCell ref="Y99:Z99"/>
    <mergeCell ref="C23:D23"/>
    <mergeCell ref="E23:F23"/>
    <mergeCell ref="Q64:R64"/>
    <mergeCell ref="Q99:R99"/>
    <mergeCell ref="K23:L23"/>
    <mergeCell ref="K31:L31"/>
    <mergeCell ref="Q23:R23"/>
    <mergeCell ref="U99:V99"/>
    <mergeCell ref="G23:H23"/>
    <mergeCell ref="E33:F33"/>
    <mergeCell ref="C34:D34"/>
    <mergeCell ref="E64:F64"/>
    <mergeCell ref="K64:L64"/>
    <mergeCell ref="C64:D64"/>
    <mergeCell ref="I64:J64"/>
    <mergeCell ref="G64:H64"/>
    <mergeCell ref="W99:X99"/>
    <mergeCell ref="S99:T99"/>
  </mergeCells>
  <phoneticPr fontId="0" type="noConversion"/>
  <printOptions horizontalCentered="1"/>
  <pageMargins left="0.27" right="0.2" top="0.5" bottom="0.5" header="0.5" footer="0.5"/>
  <pageSetup scale="70" orientation="landscape" horizontalDpi="4294967292" verticalDpi="4294967292" r:id="rId1"/>
  <headerFooter alignWithMargins="0">
    <oddFooter>&amp;R&amp;P of &amp;N
&amp;D</oddFooter>
  </headerFooter>
  <rowBreaks count="1" manualBreakCount="1">
    <brk id="61" max="19" man="1"/>
  </rowBreaks>
  <ignoredErrors>
    <ignoredError sqref="M74:M88 S74:S93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1"/>
  <sheetViews>
    <sheetView view="pageBreakPreview" zoomScaleNormal="70" zoomScaleSheetLayoutView="100" workbookViewId="0">
      <pane xSplit="2" ySplit="1" topLeftCell="M2" activePane="bottomRight" state="frozen"/>
      <selection activeCell="Z73" sqref="Z73"/>
      <selection pane="topRight" activeCell="Z73" sqref="Z73"/>
      <selection pane="bottomLeft" activeCell="Z73" sqref="Z73"/>
      <selection pane="bottomRight" activeCell="Z73" sqref="Z73"/>
    </sheetView>
  </sheetViews>
  <sheetFormatPr defaultColWidth="10.28515625" defaultRowHeight="12.75" x14ac:dyDescent="0.2"/>
  <cols>
    <col min="1" max="1" width="3.7109375" style="1" customWidth="1"/>
    <col min="2" max="2" width="29.7109375" style="1" customWidth="1"/>
    <col min="3" max="4" width="10.140625" hidden="1" customWidth="1"/>
    <col min="5" max="6" width="10.28515625" hidden="1" customWidth="1"/>
    <col min="7" max="10" width="10.28515625" style="246" hidden="1" customWidth="1"/>
    <col min="11" max="14" width="10.28515625" style="1" hidden="1" customWidth="1"/>
    <col min="15" max="26" width="10.28515625" style="1" customWidth="1"/>
    <col min="27" max="27" width="3.7109375" style="1" customWidth="1"/>
    <col min="28" max="29" width="10.28515625" style="1" customWidth="1"/>
    <col min="30" max="30" width="3" style="1" customWidth="1"/>
    <col min="31" max="16384" width="10.28515625" style="1"/>
  </cols>
  <sheetData>
    <row r="1" spans="1:30" ht="18" x14ac:dyDescent="0.25">
      <c r="A1" s="695" t="str">
        <f>Dean_Bus!A1</f>
        <v>Department Profile Report - FY 2015</v>
      </c>
      <c r="B1" s="695"/>
      <c r="C1" s="695"/>
      <c r="D1" s="695"/>
      <c r="E1" s="695"/>
      <c r="F1" s="695"/>
      <c r="G1" s="695"/>
      <c r="H1" s="695"/>
      <c r="I1" s="696"/>
      <c r="J1" s="696"/>
      <c r="K1" s="696"/>
      <c r="L1" s="696"/>
      <c r="M1" s="696"/>
      <c r="N1" s="696"/>
      <c r="O1" s="696"/>
      <c r="P1" s="696"/>
      <c r="Q1" s="696"/>
      <c r="R1" s="696"/>
      <c r="S1" s="696"/>
      <c r="T1" s="696"/>
      <c r="U1" s="696"/>
      <c r="V1" s="696"/>
      <c r="W1" s="696"/>
      <c r="X1" s="696"/>
      <c r="Y1" s="696"/>
      <c r="Z1" s="696"/>
      <c r="AA1" s="696"/>
      <c r="AB1" s="696"/>
      <c r="AC1" s="696"/>
      <c r="AD1" s="1" t="s">
        <v>26</v>
      </c>
    </row>
    <row r="2" spans="1:30" ht="12" x14ac:dyDescent="0.2">
      <c r="C2" s="1"/>
      <c r="D2" s="1"/>
      <c r="E2" s="1"/>
      <c r="F2" s="1"/>
      <c r="G2" s="245"/>
      <c r="H2" s="245"/>
      <c r="I2" s="245"/>
      <c r="J2" s="245"/>
    </row>
    <row r="3" spans="1:30" x14ac:dyDescent="0.2">
      <c r="A3" s="3" t="s">
        <v>31</v>
      </c>
      <c r="C3" s="1"/>
      <c r="D3" s="1"/>
      <c r="E3" s="1"/>
      <c r="F3" s="1"/>
      <c r="G3" s="245"/>
      <c r="H3" s="245"/>
      <c r="I3" s="245"/>
      <c r="J3" s="245"/>
    </row>
    <row r="4" spans="1:30" ht="12" x14ac:dyDescent="0.2">
      <c r="C4" s="1"/>
      <c r="D4" s="1"/>
      <c r="E4" s="1"/>
      <c r="F4" s="1"/>
      <c r="G4" s="245"/>
      <c r="H4" s="245"/>
      <c r="I4" s="245"/>
      <c r="J4" s="245"/>
    </row>
    <row r="5" spans="1:30" x14ac:dyDescent="0.2">
      <c r="A5" s="3" t="s">
        <v>61</v>
      </c>
      <c r="C5" s="1"/>
      <c r="D5" s="1"/>
      <c r="E5" s="1"/>
      <c r="F5" s="1"/>
      <c r="G5" s="245"/>
      <c r="H5" s="245"/>
      <c r="I5" s="245"/>
      <c r="J5" s="245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</row>
    <row r="6" spans="1:30" ht="13.5" thickBot="1" x14ac:dyDescent="0.25">
      <c r="A6" s="3"/>
      <c r="C6" s="1"/>
      <c r="D6" s="1"/>
      <c r="E6" s="1"/>
      <c r="F6" s="1"/>
      <c r="G6" s="245"/>
      <c r="H6" s="245"/>
      <c r="I6" s="245"/>
      <c r="J6" s="245"/>
      <c r="M6" s="12"/>
      <c r="N6" s="59"/>
      <c r="O6" s="12"/>
      <c r="P6" s="59"/>
      <c r="Q6" s="12"/>
      <c r="R6" s="59"/>
      <c r="S6" s="12"/>
      <c r="T6" s="59"/>
      <c r="U6" s="12"/>
      <c r="V6" s="59"/>
      <c r="W6" s="12"/>
      <c r="X6" s="59"/>
      <c r="Y6" s="12"/>
      <c r="Z6" s="59"/>
      <c r="AB6" s="12"/>
      <c r="AC6" s="12"/>
    </row>
    <row r="7" spans="1:30" ht="13.5" customHeight="1" thickTop="1" x14ac:dyDescent="0.2">
      <c r="B7" s="42"/>
      <c r="C7" s="21" t="s">
        <v>39</v>
      </c>
      <c r="D7" s="22"/>
      <c r="E7" s="8" t="s">
        <v>40</v>
      </c>
      <c r="F7" s="4"/>
      <c r="G7" s="276" t="s">
        <v>97</v>
      </c>
      <c r="H7" s="352"/>
      <c r="I7" s="347" t="s">
        <v>108</v>
      </c>
      <c r="J7" s="443"/>
      <c r="K7" s="1179" t="s">
        <v>109</v>
      </c>
      <c r="L7" s="1180"/>
      <c r="M7" s="1179" t="s">
        <v>111</v>
      </c>
      <c r="N7" s="1181"/>
      <c r="O7" s="1180" t="s">
        <v>164</v>
      </c>
      <c r="P7" s="1181"/>
      <c r="Q7" s="1180" t="s">
        <v>169</v>
      </c>
      <c r="R7" s="1181"/>
      <c r="S7" s="1180" t="s">
        <v>176</v>
      </c>
      <c r="T7" s="1181"/>
      <c r="U7" s="1180" t="s">
        <v>179</v>
      </c>
      <c r="V7" s="1181"/>
      <c r="W7" s="1180" t="s">
        <v>183</v>
      </c>
      <c r="X7" s="1181"/>
      <c r="Y7" s="1180" t="s">
        <v>187</v>
      </c>
      <c r="Z7" s="1227"/>
      <c r="AB7" s="1168" t="s">
        <v>118</v>
      </c>
      <c r="AC7" s="1219"/>
    </row>
    <row r="8" spans="1:30" ht="12" x14ac:dyDescent="0.2">
      <c r="B8" s="43"/>
      <c r="C8" s="23" t="s">
        <v>1</v>
      </c>
      <c r="D8" s="24" t="s">
        <v>2</v>
      </c>
      <c r="E8" s="9" t="s">
        <v>1</v>
      </c>
      <c r="F8" s="5" t="s">
        <v>2</v>
      </c>
      <c r="G8" s="277" t="s">
        <v>1</v>
      </c>
      <c r="H8" s="353" t="s">
        <v>2</v>
      </c>
      <c r="I8" s="348" t="s">
        <v>1</v>
      </c>
      <c r="J8" s="427" t="s">
        <v>2</v>
      </c>
      <c r="K8" s="277" t="s">
        <v>1</v>
      </c>
      <c r="L8" s="427" t="s">
        <v>2</v>
      </c>
      <c r="M8" s="277" t="s">
        <v>1</v>
      </c>
      <c r="N8" s="353" t="s">
        <v>2</v>
      </c>
      <c r="O8" s="348" t="s">
        <v>1</v>
      </c>
      <c r="P8" s="353" t="s">
        <v>2</v>
      </c>
      <c r="Q8" s="348" t="s">
        <v>1</v>
      </c>
      <c r="R8" s="353" t="s">
        <v>2</v>
      </c>
      <c r="S8" s="348" t="s">
        <v>1</v>
      </c>
      <c r="T8" s="353" t="s">
        <v>2</v>
      </c>
      <c r="U8" s="348" t="s">
        <v>1</v>
      </c>
      <c r="V8" s="353" t="s">
        <v>2</v>
      </c>
      <c r="W8" s="348" t="s">
        <v>1</v>
      </c>
      <c r="X8" s="353" t="s">
        <v>2</v>
      </c>
      <c r="Y8" s="348" t="s">
        <v>1</v>
      </c>
      <c r="Z8" s="1074" t="s">
        <v>2</v>
      </c>
      <c r="AB8" s="665" t="s">
        <v>1</v>
      </c>
      <c r="AC8" s="663" t="s">
        <v>2</v>
      </c>
    </row>
    <row r="9" spans="1:30" thickBot="1" x14ac:dyDescent="0.25">
      <c r="B9" s="44"/>
      <c r="C9" s="547" t="s">
        <v>3</v>
      </c>
      <c r="D9" s="86" t="s">
        <v>4</v>
      </c>
      <c r="E9" s="85" t="s">
        <v>3</v>
      </c>
      <c r="F9" s="308" t="s">
        <v>4</v>
      </c>
      <c r="G9" s="317" t="s">
        <v>3</v>
      </c>
      <c r="H9" s="354" t="s">
        <v>4</v>
      </c>
      <c r="I9" s="349" t="s">
        <v>3</v>
      </c>
      <c r="J9" s="428" t="s">
        <v>4</v>
      </c>
      <c r="K9" s="317" t="s">
        <v>3</v>
      </c>
      <c r="L9" s="428" t="s">
        <v>4</v>
      </c>
      <c r="M9" s="317" t="s">
        <v>3</v>
      </c>
      <c r="N9" s="354" t="s">
        <v>4</v>
      </c>
      <c r="O9" s="349" t="s">
        <v>3</v>
      </c>
      <c r="P9" s="354" t="s">
        <v>4</v>
      </c>
      <c r="Q9" s="349" t="s">
        <v>3</v>
      </c>
      <c r="R9" s="354" t="s">
        <v>4</v>
      </c>
      <c r="S9" s="349" t="s">
        <v>3</v>
      </c>
      <c r="T9" s="354" t="s">
        <v>4</v>
      </c>
      <c r="U9" s="349" t="s">
        <v>3</v>
      </c>
      <c r="V9" s="354" t="s">
        <v>4</v>
      </c>
      <c r="W9" s="349" t="s">
        <v>3</v>
      </c>
      <c r="X9" s="354" t="s">
        <v>4</v>
      </c>
      <c r="Y9" s="349" t="s">
        <v>3</v>
      </c>
      <c r="Z9" s="247" t="s">
        <v>4</v>
      </c>
      <c r="AB9" s="590" t="s">
        <v>3</v>
      </c>
      <c r="AC9" s="664" t="s">
        <v>4</v>
      </c>
    </row>
    <row r="10" spans="1:30" ht="12" x14ac:dyDescent="0.2">
      <c r="B10" s="45" t="s">
        <v>5</v>
      </c>
      <c r="C10" s="548"/>
      <c r="D10" s="88"/>
      <c r="E10" s="87"/>
      <c r="F10" s="108"/>
      <c r="G10" s="318"/>
      <c r="H10" s="355"/>
      <c r="I10" s="350"/>
      <c r="J10" s="429"/>
      <c r="K10" s="318"/>
      <c r="L10" s="429"/>
      <c r="M10" s="318"/>
      <c r="N10" s="355"/>
      <c r="O10" s="350"/>
      <c r="P10" s="355"/>
      <c r="Q10" s="350"/>
      <c r="R10" s="355"/>
      <c r="S10" s="350"/>
      <c r="T10" s="355"/>
      <c r="U10" s="350"/>
      <c r="V10" s="355"/>
      <c r="W10" s="350"/>
      <c r="X10" s="355"/>
      <c r="Y10" s="350"/>
      <c r="Z10" s="1075"/>
      <c r="AB10" s="19"/>
      <c r="AC10" s="583"/>
    </row>
    <row r="11" spans="1:30" ht="12" x14ac:dyDescent="0.2">
      <c r="B11" s="46" t="s">
        <v>163</v>
      </c>
      <c r="C11" s="26"/>
      <c r="D11" s="27"/>
      <c r="E11" s="13"/>
      <c r="F11" s="14"/>
      <c r="G11" s="279"/>
      <c r="H11" s="356"/>
      <c r="I11" s="111"/>
      <c r="J11" s="430"/>
      <c r="K11" s="279"/>
      <c r="L11" s="430"/>
      <c r="M11" s="279"/>
      <c r="N11" s="356"/>
      <c r="O11" s="111"/>
      <c r="P11" s="356"/>
      <c r="Q11" s="111"/>
      <c r="R11" s="356"/>
      <c r="S11" s="111"/>
      <c r="T11" s="356"/>
      <c r="U11" s="111"/>
      <c r="V11" s="356"/>
      <c r="W11" s="111"/>
      <c r="X11" s="356"/>
      <c r="Y11" s="111"/>
      <c r="Z11" s="248"/>
      <c r="AB11" s="19"/>
      <c r="AC11" s="583"/>
    </row>
    <row r="12" spans="1:30" ht="12" x14ac:dyDescent="0.2">
      <c r="A12" s="59"/>
      <c r="B12" s="40" t="s">
        <v>151</v>
      </c>
      <c r="C12" s="10">
        <v>421</v>
      </c>
      <c r="D12" s="29">
        <v>212</v>
      </c>
      <c r="E12" s="10">
        <f>391+45</f>
        <v>436</v>
      </c>
      <c r="F12" s="6">
        <v>228</v>
      </c>
      <c r="G12" s="271">
        <v>380</v>
      </c>
      <c r="H12" s="391">
        <v>166</v>
      </c>
      <c r="I12" s="346">
        <v>353</v>
      </c>
      <c r="J12" s="122">
        <f>88+82+10</f>
        <v>180</v>
      </c>
      <c r="K12" s="271">
        <v>333</v>
      </c>
      <c r="L12" s="391">
        <f>168+6</f>
        <v>174</v>
      </c>
      <c r="M12" s="346">
        <f>269+29</f>
        <v>298</v>
      </c>
      <c r="N12" s="391">
        <v>142</v>
      </c>
      <c r="O12" s="346">
        <v>293</v>
      </c>
      <c r="P12" s="391">
        <f>143+12</f>
        <v>155</v>
      </c>
      <c r="Q12" s="346">
        <v>263</v>
      </c>
      <c r="R12" s="391">
        <v>150</v>
      </c>
      <c r="S12" s="346">
        <v>238</v>
      </c>
      <c r="T12" s="391">
        <v>115</v>
      </c>
      <c r="U12" s="346">
        <v>278</v>
      </c>
      <c r="V12" s="391">
        <v>134</v>
      </c>
      <c r="W12" s="346">
        <v>331</v>
      </c>
      <c r="X12" s="391">
        <v>147</v>
      </c>
      <c r="Y12" s="346">
        <v>341</v>
      </c>
      <c r="Z12" s="1106"/>
      <c r="AA12" s="1073"/>
      <c r="AB12" s="673">
        <f>AVERAGE(W12,U12,S12,Q12,Y12)</f>
        <v>290.2</v>
      </c>
      <c r="AC12" s="674">
        <f>AVERAGE(X12,V12,T12,R12,Z12)</f>
        <v>136.5</v>
      </c>
    </row>
    <row r="13" spans="1:30" ht="12" x14ac:dyDescent="0.2">
      <c r="A13" s="583"/>
      <c r="B13" s="580" t="s">
        <v>182</v>
      </c>
      <c r="C13" s="33"/>
      <c r="D13" s="33"/>
      <c r="E13" s="33"/>
      <c r="F13" s="33"/>
      <c r="G13" s="358"/>
      <c r="H13" s="358"/>
      <c r="I13" s="358"/>
      <c r="J13" s="358"/>
      <c r="K13" s="111"/>
      <c r="L13" s="356"/>
      <c r="M13" s="111"/>
      <c r="N13" s="356"/>
      <c r="O13" s="111"/>
      <c r="P13" s="356"/>
      <c r="Q13" s="111"/>
      <c r="R13" s="356"/>
      <c r="S13" s="111"/>
      <c r="T13" s="356"/>
      <c r="U13" s="111"/>
      <c r="V13" s="360"/>
      <c r="W13" s="111"/>
      <c r="X13" s="360"/>
      <c r="Y13" s="111"/>
      <c r="Z13" s="1079"/>
      <c r="AA13" s="1073"/>
      <c r="AB13" s="666"/>
      <c r="AC13" s="602"/>
    </row>
    <row r="14" spans="1:30" thickBot="1" x14ac:dyDescent="0.25">
      <c r="A14" s="583"/>
      <c r="B14" s="616" t="s">
        <v>181</v>
      </c>
      <c r="C14" s="12"/>
      <c r="D14" s="12"/>
      <c r="E14" s="12"/>
      <c r="F14" s="12"/>
      <c r="G14" s="301"/>
      <c r="H14" s="301"/>
      <c r="I14" s="301"/>
      <c r="J14" s="301"/>
      <c r="K14" s="1093"/>
      <c r="L14" s="1034"/>
      <c r="M14" s="1093"/>
      <c r="N14" s="1034"/>
      <c r="O14" s="1093"/>
      <c r="P14" s="1034"/>
      <c r="Q14" s="1093"/>
      <c r="R14" s="1034"/>
      <c r="S14" s="1093"/>
      <c r="T14" s="1034"/>
      <c r="U14" s="1093"/>
      <c r="V14" s="1048"/>
      <c r="W14" s="1105">
        <v>1</v>
      </c>
      <c r="X14" s="1118">
        <v>5</v>
      </c>
      <c r="Y14" s="1105">
        <v>27</v>
      </c>
      <c r="Z14" s="1094"/>
      <c r="AA14" s="1073"/>
      <c r="AB14" s="667"/>
      <c r="AC14" s="732"/>
    </row>
    <row r="15" spans="1:30" thickTop="1" x14ac:dyDescent="0.2">
      <c r="B15" s="133" t="s">
        <v>150</v>
      </c>
      <c r="C15" s="58"/>
      <c r="D15" s="61"/>
      <c r="E15" s="58"/>
      <c r="F15" s="61"/>
      <c r="G15" s="249"/>
      <c r="H15" s="250"/>
      <c r="I15" s="249"/>
      <c r="J15" s="250"/>
      <c r="K15" s="249"/>
      <c r="L15" s="250"/>
      <c r="M15" s="249"/>
      <c r="N15" s="250"/>
      <c r="O15" s="249"/>
      <c r="P15" s="250"/>
      <c r="Q15" s="249"/>
      <c r="R15" s="250"/>
      <c r="S15" s="249"/>
      <c r="T15" s="250"/>
      <c r="U15" s="249"/>
      <c r="V15" s="250"/>
      <c r="W15" s="249"/>
      <c r="X15" s="250"/>
      <c r="Y15" s="249"/>
      <c r="Z15" s="250"/>
      <c r="AB15" s="731"/>
      <c r="AC15" s="731"/>
    </row>
    <row r="16" spans="1:30" thickBot="1" x14ac:dyDescent="0.25">
      <c r="C16" s="58"/>
      <c r="D16" s="61"/>
      <c r="E16" s="58"/>
      <c r="F16" s="61"/>
      <c r="G16" s="249"/>
      <c r="H16" s="250"/>
      <c r="I16" s="249"/>
      <c r="J16" s="250"/>
      <c r="K16" s="249"/>
      <c r="L16" s="250"/>
      <c r="M16" s="331"/>
      <c r="N16" s="250"/>
      <c r="O16" s="331"/>
      <c r="P16" s="250"/>
      <c r="Q16" s="331"/>
      <c r="R16" s="250"/>
      <c r="S16" s="331"/>
      <c r="T16" s="250"/>
      <c r="U16" s="331"/>
      <c r="V16" s="250"/>
      <c r="W16" s="331"/>
      <c r="X16" s="250"/>
      <c r="Y16" s="331"/>
      <c r="Z16" s="250"/>
      <c r="AB16" s="12"/>
      <c r="AC16" s="12"/>
    </row>
    <row r="17" spans="1:31" ht="13.5" thickTop="1" thickBot="1" x14ac:dyDescent="0.25">
      <c r="B17" s="866"/>
      <c r="C17" s="1151" t="s">
        <v>39</v>
      </c>
      <c r="D17" s="1152"/>
      <c r="E17" s="1151" t="s">
        <v>40</v>
      </c>
      <c r="F17" s="1153"/>
      <c r="G17" s="1150" t="s">
        <v>97</v>
      </c>
      <c r="H17" s="1134"/>
      <c r="I17" s="1133" t="s">
        <v>108</v>
      </c>
      <c r="J17" s="1133"/>
      <c r="K17" s="1150" t="s">
        <v>109</v>
      </c>
      <c r="L17" s="1133"/>
      <c r="M17" s="1150" t="s">
        <v>111</v>
      </c>
      <c r="N17" s="1134"/>
      <c r="O17" s="1133" t="s">
        <v>164</v>
      </c>
      <c r="P17" s="1134"/>
      <c r="Q17" s="1133" t="s">
        <v>169</v>
      </c>
      <c r="R17" s="1134"/>
      <c r="S17" s="1133" t="s">
        <v>176</v>
      </c>
      <c r="T17" s="1134"/>
      <c r="U17" s="1133" t="s">
        <v>179</v>
      </c>
      <c r="V17" s="1134"/>
      <c r="W17" s="1133" t="s">
        <v>183</v>
      </c>
      <c r="X17" s="1134"/>
      <c r="Y17" s="1133" t="s">
        <v>187</v>
      </c>
      <c r="Z17" s="1228"/>
      <c r="AB17" s="1220" t="s">
        <v>118</v>
      </c>
      <c r="AC17" s="1221"/>
    </row>
    <row r="18" spans="1:31" ht="12" x14ac:dyDescent="0.2">
      <c r="B18" s="45" t="s">
        <v>6</v>
      </c>
      <c r="C18" s="149"/>
      <c r="D18" s="150"/>
      <c r="E18" s="149"/>
      <c r="F18" s="33"/>
      <c r="G18" s="280"/>
      <c r="H18" s="360"/>
      <c r="I18" s="358"/>
      <c r="J18" s="358"/>
      <c r="K18" s="280"/>
      <c r="L18" s="358"/>
      <c r="M18" s="280"/>
      <c r="N18" s="360"/>
      <c r="O18" s="358"/>
      <c r="P18" s="360"/>
      <c r="Q18" s="358"/>
      <c r="R18" s="360"/>
      <c r="S18" s="358"/>
      <c r="T18" s="360"/>
      <c r="U18" s="358"/>
      <c r="V18" s="360"/>
      <c r="W18" s="358"/>
      <c r="X18" s="360"/>
      <c r="Y18" s="358"/>
      <c r="Z18" s="1079"/>
      <c r="AA18" s="583"/>
      <c r="AB18" s="733"/>
      <c r="AC18" s="734"/>
    </row>
    <row r="19" spans="1:31" ht="12" x14ac:dyDescent="0.2">
      <c r="B19" s="49" t="s">
        <v>7</v>
      </c>
      <c r="C19" s="151"/>
      <c r="D19" s="152"/>
      <c r="E19" s="151"/>
      <c r="F19" s="34"/>
      <c r="G19" s="281"/>
      <c r="H19" s="361"/>
      <c r="I19" s="254"/>
      <c r="J19" s="254"/>
      <c r="K19" s="281"/>
      <c r="L19" s="254"/>
      <c r="M19" s="281"/>
      <c r="N19" s="361"/>
      <c r="O19" s="254"/>
      <c r="P19" s="361"/>
      <c r="Q19" s="254"/>
      <c r="R19" s="361"/>
      <c r="S19" s="254"/>
      <c r="T19" s="361"/>
      <c r="U19" s="254"/>
      <c r="V19" s="361"/>
      <c r="W19" s="254"/>
      <c r="X19" s="361"/>
      <c r="Y19" s="254"/>
      <c r="Z19" s="1080"/>
      <c r="AA19" s="583"/>
      <c r="AC19" s="583"/>
    </row>
    <row r="20" spans="1:31" ht="12" x14ac:dyDescent="0.2">
      <c r="B20" s="49" t="s">
        <v>8</v>
      </c>
      <c r="C20" s="151"/>
      <c r="D20" s="191">
        <v>0</v>
      </c>
      <c r="E20" s="151"/>
      <c r="F20" s="337">
        <v>0</v>
      </c>
      <c r="G20" s="281"/>
      <c r="H20" s="362">
        <v>0</v>
      </c>
      <c r="I20" s="254"/>
      <c r="J20" s="447">
        <v>0</v>
      </c>
      <c r="K20" s="281"/>
      <c r="L20" s="447">
        <v>0</v>
      </c>
      <c r="M20" s="281"/>
      <c r="N20" s="362">
        <v>0</v>
      </c>
      <c r="O20" s="254"/>
      <c r="P20" s="362">
        <v>90</v>
      </c>
      <c r="Q20" s="254"/>
      <c r="R20" s="362">
        <v>102</v>
      </c>
      <c r="S20" s="254"/>
      <c r="T20" s="362">
        <v>144</v>
      </c>
      <c r="U20" s="254"/>
      <c r="V20" s="362">
        <v>141</v>
      </c>
      <c r="W20" s="254"/>
      <c r="X20" s="362">
        <v>0</v>
      </c>
      <c r="Y20" s="254"/>
      <c r="Z20" s="1120"/>
      <c r="AA20" s="583"/>
      <c r="AB20" s="33"/>
      <c r="AC20" s="676">
        <f t="shared" ref="AC20:AC24" si="0">AVERAGE(X20,V20,T20,R20,Z20)</f>
        <v>96.75</v>
      </c>
    </row>
    <row r="21" spans="1:31" ht="12" x14ac:dyDescent="0.2">
      <c r="B21" s="49" t="s">
        <v>9</v>
      </c>
      <c r="C21" s="151"/>
      <c r="D21" s="191">
        <v>9172</v>
      </c>
      <c r="E21" s="159"/>
      <c r="F21" s="53">
        <v>8775</v>
      </c>
      <c r="G21" s="312"/>
      <c r="H21" s="363">
        <v>8406</v>
      </c>
      <c r="I21" s="121"/>
      <c r="J21" s="121">
        <v>9314</v>
      </c>
      <c r="K21" s="312"/>
      <c r="L21" s="121">
        <v>8775</v>
      </c>
      <c r="M21" s="312"/>
      <c r="N21" s="363">
        <v>8878</v>
      </c>
      <c r="O21" s="121"/>
      <c r="P21" s="363">
        <v>8934</v>
      </c>
      <c r="Q21" s="121"/>
      <c r="R21" s="363">
        <v>9108</v>
      </c>
      <c r="S21" s="121"/>
      <c r="T21" s="363">
        <v>11156</v>
      </c>
      <c r="U21" s="121"/>
      <c r="V21" s="363">
        <v>11228</v>
      </c>
      <c r="W21" s="121"/>
      <c r="X21" s="363">
        <v>11470</v>
      </c>
      <c r="Y21" s="121"/>
      <c r="Z21" s="1121"/>
      <c r="AB21" s="677"/>
      <c r="AC21" s="676">
        <f t="shared" si="0"/>
        <v>10740.5</v>
      </c>
    </row>
    <row r="22" spans="1:31" ht="12" x14ac:dyDescent="0.2">
      <c r="B22" s="49" t="s">
        <v>10</v>
      </c>
      <c r="C22" s="151"/>
      <c r="D22" s="191">
        <v>123</v>
      </c>
      <c r="E22" s="151"/>
      <c r="F22" s="337">
        <v>111</v>
      </c>
      <c r="G22" s="281"/>
      <c r="H22" s="362">
        <v>147</v>
      </c>
      <c r="I22" s="254"/>
      <c r="J22" s="447">
        <v>258</v>
      </c>
      <c r="K22" s="281"/>
      <c r="L22" s="447">
        <v>234</v>
      </c>
      <c r="M22" s="281"/>
      <c r="N22" s="362">
        <v>219</v>
      </c>
      <c r="O22" s="254"/>
      <c r="P22" s="362">
        <v>249</v>
      </c>
      <c r="Q22" s="254"/>
      <c r="R22" s="362">
        <v>318</v>
      </c>
      <c r="S22" s="254"/>
      <c r="T22" s="362">
        <v>336</v>
      </c>
      <c r="U22" s="254"/>
      <c r="V22" s="362">
        <v>393</v>
      </c>
      <c r="W22" s="254"/>
      <c r="X22" s="362">
        <v>363</v>
      </c>
      <c r="Y22" s="254"/>
      <c r="Z22" s="1120"/>
      <c r="AB22" s="677"/>
      <c r="AC22" s="676">
        <f t="shared" si="0"/>
        <v>352.5</v>
      </c>
    </row>
    <row r="23" spans="1:31" ht="12" x14ac:dyDescent="0.2">
      <c r="B23" s="49" t="s">
        <v>11</v>
      </c>
      <c r="C23" s="151"/>
      <c r="D23" s="191"/>
      <c r="E23" s="151"/>
      <c r="F23" s="337"/>
      <c r="G23" s="281"/>
      <c r="H23" s="362">
        <v>0</v>
      </c>
      <c r="I23" s="254"/>
      <c r="J23" s="447">
        <v>0</v>
      </c>
      <c r="K23" s="281"/>
      <c r="L23" s="447">
        <v>0</v>
      </c>
      <c r="M23" s="281"/>
      <c r="N23" s="362">
        <v>0</v>
      </c>
      <c r="O23" s="254"/>
      <c r="P23" s="362">
        <v>0</v>
      </c>
      <c r="Q23" s="254"/>
      <c r="R23" s="362">
        <v>0</v>
      </c>
      <c r="S23" s="254"/>
      <c r="T23" s="362">
        <v>0</v>
      </c>
      <c r="U23" s="254"/>
      <c r="V23" s="362">
        <v>0</v>
      </c>
      <c r="W23" s="254"/>
      <c r="X23" s="362">
        <v>0</v>
      </c>
      <c r="Y23" s="254"/>
      <c r="Z23" s="1120"/>
      <c r="AB23" s="677"/>
      <c r="AC23" s="676">
        <f t="shared" si="0"/>
        <v>0</v>
      </c>
    </row>
    <row r="24" spans="1:31" thickBot="1" x14ac:dyDescent="0.25">
      <c r="B24" s="50" t="s">
        <v>12</v>
      </c>
      <c r="C24" s="154"/>
      <c r="D24" s="155">
        <f>SUM(D21:D23)</f>
        <v>9295</v>
      </c>
      <c r="E24" s="910"/>
      <c r="F24" s="338">
        <f>SUM(F21:F23)</f>
        <v>8886</v>
      </c>
      <c r="G24" s="303"/>
      <c r="H24" s="364">
        <f>SUM(H20:H23)</f>
        <v>8553</v>
      </c>
      <c r="I24" s="359"/>
      <c r="J24" s="448">
        <f>SUM(J20:J23)</f>
        <v>9572</v>
      </c>
      <c r="K24" s="303"/>
      <c r="L24" s="448">
        <f>SUM(L20:L23)</f>
        <v>9009</v>
      </c>
      <c r="M24" s="303"/>
      <c r="N24" s="364">
        <v>9097</v>
      </c>
      <c r="O24" s="359"/>
      <c r="P24" s="364">
        <f>SUM(P20:P23)</f>
        <v>9273</v>
      </c>
      <c r="Q24" s="359"/>
      <c r="R24" s="364">
        <f>SUM(R20:R23)</f>
        <v>9528</v>
      </c>
      <c r="S24" s="359"/>
      <c r="T24" s="364">
        <f>SUM(T20:T23)</f>
        <v>11636</v>
      </c>
      <c r="U24" s="359"/>
      <c r="V24" s="364">
        <f>SUM(V20:V23)</f>
        <v>11762</v>
      </c>
      <c r="W24" s="359"/>
      <c r="X24" s="364">
        <f>SUM(X20:X23)</f>
        <v>11833</v>
      </c>
      <c r="Y24" s="359"/>
      <c r="Z24" s="1122">
        <f>SUM(Z20:Z23)</f>
        <v>0</v>
      </c>
      <c r="AB24" s="604"/>
      <c r="AC24" s="808">
        <f t="shared" si="0"/>
        <v>8951.7999999999993</v>
      </c>
    </row>
    <row r="25" spans="1:31" ht="13.5" customHeight="1" thickTop="1" thickBot="1" x14ac:dyDescent="0.25">
      <c r="A25" s="583"/>
      <c r="B25" s="891" t="s">
        <v>136</v>
      </c>
      <c r="C25" s="1141" t="s">
        <v>41</v>
      </c>
      <c r="D25" s="1160"/>
      <c r="E25" s="1141" t="s">
        <v>42</v>
      </c>
      <c r="F25" s="1160"/>
      <c r="G25" s="1145" t="s">
        <v>132</v>
      </c>
      <c r="H25" s="1163"/>
      <c r="I25" s="1145" t="s">
        <v>133</v>
      </c>
      <c r="J25" s="1166"/>
      <c r="K25" s="1145" t="s">
        <v>134</v>
      </c>
      <c r="L25" s="1166"/>
      <c r="M25" s="1149" t="s">
        <v>135</v>
      </c>
      <c r="N25" s="1163"/>
      <c r="O25" s="1135" t="s">
        <v>166</v>
      </c>
      <c r="P25" s="1163"/>
      <c r="Q25" s="1135" t="s">
        <v>170</v>
      </c>
      <c r="R25" s="1230"/>
      <c r="S25" s="1135" t="s">
        <v>177</v>
      </c>
      <c r="T25" s="1230"/>
      <c r="U25" s="1135" t="s">
        <v>180</v>
      </c>
      <c r="V25" s="1230"/>
      <c r="W25" s="1135" t="s">
        <v>184</v>
      </c>
      <c r="X25" s="1230"/>
      <c r="Y25" s="1135" t="s">
        <v>188</v>
      </c>
      <c r="Z25" s="1229"/>
      <c r="AA25" s="672"/>
      <c r="AB25" s="729"/>
      <c r="AC25" s="730"/>
      <c r="AD25" s="438"/>
      <c r="AE25" s="438"/>
    </row>
    <row r="26" spans="1:31" ht="13.5" customHeight="1" x14ac:dyDescent="0.2">
      <c r="A26" s="583"/>
      <c r="B26" s="623" t="s">
        <v>119</v>
      </c>
      <c r="C26" s="1204">
        <v>0.40899999999999997</v>
      </c>
      <c r="D26" s="1205"/>
      <c r="E26" s="1158">
        <v>0.45900000000000002</v>
      </c>
      <c r="F26" s="1206"/>
      <c r="G26" s="1161">
        <v>0.42399999999999999</v>
      </c>
      <c r="H26" s="1200"/>
      <c r="I26" s="1161">
        <v>0.4</v>
      </c>
      <c r="J26" s="1200"/>
      <c r="K26" s="643"/>
      <c r="L26" s="640">
        <v>0.38100000000000001</v>
      </c>
      <c r="M26" s="646"/>
      <c r="N26" s="833">
        <v>0.34899999999999998</v>
      </c>
      <c r="O26" s="830"/>
      <c r="P26" s="833">
        <v>0.32500000000000001</v>
      </c>
      <c r="Q26" s="648"/>
      <c r="R26" s="833">
        <v>0.29099999999999998</v>
      </c>
      <c r="S26" s="648"/>
      <c r="T26" s="833">
        <v>0.223</v>
      </c>
      <c r="U26" s="648"/>
      <c r="V26" s="833">
        <v>0.248</v>
      </c>
      <c r="W26" s="648"/>
      <c r="X26" s="833">
        <v>0.29699999999999999</v>
      </c>
      <c r="Y26" s="648"/>
      <c r="Z26" s="1076">
        <v>0.27900000000000003</v>
      </c>
      <c r="AA26" s="916"/>
      <c r="AB26" s="648"/>
      <c r="AC26" s="670">
        <f t="shared" ref="AC26:AC27" si="1">AVERAGE(X26,V26,T26,R26,Z26)</f>
        <v>0.2676</v>
      </c>
      <c r="AD26" s="438"/>
      <c r="AE26" s="438"/>
    </row>
    <row r="27" spans="1:31" ht="13.5" customHeight="1" x14ac:dyDescent="0.2">
      <c r="A27" s="583"/>
      <c r="B27" s="624" t="s">
        <v>120</v>
      </c>
      <c r="C27" s="1207">
        <v>0</v>
      </c>
      <c r="D27" s="1206"/>
      <c r="E27" s="1156">
        <v>0</v>
      </c>
      <c r="F27" s="1216"/>
      <c r="G27" s="1172">
        <v>2E-3</v>
      </c>
      <c r="H27" s="1199"/>
      <c r="I27" s="1172">
        <v>0</v>
      </c>
      <c r="J27" s="1199"/>
      <c r="K27" s="644"/>
      <c r="L27" s="641">
        <v>0</v>
      </c>
      <c r="M27" s="644"/>
      <c r="N27" s="834">
        <v>0</v>
      </c>
      <c r="O27" s="831"/>
      <c r="P27" s="834">
        <v>0</v>
      </c>
      <c r="Q27" s="649"/>
      <c r="R27" s="834">
        <v>0</v>
      </c>
      <c r="S27" s="649"/>
      <c r="T27" s="834">
        <v>0</v>
      </c>
      <c r="U27" s="649"/>
      <c r="V27" s="834">
        <v>0</v>
      </c>
      <c r="W27" s="649"/>
      <c r="X27" s="834">
        <v>0</v>
      </c>
      <c r="Y27" s="649"/>
      <c r="Z27" s="1077">
        <v>0</v>
      </c>
      <c r="AA27" s="916"/>
      <c r="AB27" s="649"/>
      <c r="AC27" s="670">
        <f t="shared" si="1"/>
        <v>0</v>
      </c>
      <c r="AD27" s="438"/>
      <c r="AE27" s="438"/>
    </row>
    <row r="28" spans="1:31" ht="13.5" customHeight="1" thickBot="1" x14ac:dyDescent="0.25">
      <c r="B28" s="647" t="s">
        <v>121</v>
      </c>
      <c r="C28" s="1208">
        <f>1-SUM(C26:D27)</f>
        <v>0.59099999999999997</v>
      </c>
      <c r="D28" s="1209"/>
      <c r="E28" s="1208">
        <f>1-SUM(E26:F27)</f>
        <v>0.54099999999999993</v>
      </c>
      <c r="F28" s="1209"/>
      <c r="G28" s="1208">
        <f>1-SUM(G26:H27)</f>
        <v>0.57400000000000007</v>
      </c>
      <c r="H28" s="1209"/>
      <c r="I28" s="1208">
        <f>1-SUM(I26:J27)</f>
        <v>0.6</v>
      </c>
      <c r="J28" s="1209"/>
      <c r="K28" s="1208">
        <f>1-SUM(K26:L27)</f>
        <v>0.61899999999999999</v>
      </c>
      <c r="L28" s="1209"/>
      <c r="M28" s="1208">
        <f>1-SUM(M26:N27)</f>
        <v>0.65100000000000002</v>
      </c>
      <c r="N28" s="1209"/>
      <c r="O28" s="1167">
        <f>1-SUM(O26:P27)</f>
        <v>0.67500000000000004</v>
      </c>
      <c r="P28" s="1209"/>
      <c r="Q28" s="1225">
        <f>1-R26-R27</f>
        <v>0.70900000000000007</v>
      </c>
      <c r="R28" s="1201"/>
      <c r="S28" s="1225">
        <f>1-T26-T27</f>
        <v>0.77700000000000002</v>
      </c>
      <c r="T28" s="1201"/>
      <c r="U28" s="1012"/>
      <c r="V28" s="1011">
        <f>1-V26-V27</f>
        <v>0.752</v>
      </c>
      <c r="W28" s="1072"/>
      <c r="X28" s="1117">
        <f>1-X26-X27</f>
        <v>0.70300000000000007</v>
      </c>
      <c r="Y28" s="1115"/>
      <c r="Z28" s="1078">
        <f>1-Z26-Z27</f>
        <v>0.72099999999999997</v>
      </c>
      <c r="AA28" s="916"/>
      <c r="AB28" s="1017"/>
      <c r="AC28" s="1018">
        <f>AVERAGE(X28,V28,T28,R28,Z28)</f>
        <v>0.72533333333333339</v>
      </c>
      <c r="AD28" s="742"/>
      <c r="AE28" s="438"/>
    </row>
    <row r="29" spans="1:31" thickTop="1" x14ac:dyDescent="0.2">
      <c r="B29" s="102"/>
      <c r="C29" s="103"/>
      <c r="D29" s="104"/>
      <c r="E29" s="103"/>
      <c r="F29" s="104"/>
      <c r="G29" s="251"/>
      <c r="H29" s="252"/>
      <c r="I29" s="251"/>
      <c r="J29" s="252"/>
      <c r="K29" s="251"/>
      <c r="L29" s="252"/>
      <c r="M29" s="251"/>
      <c r="N29" s="252"/>
      <c r="O29" s="251"/>
      <c r="P29" s="252"/>
      <c r="Q29" s="251"/>
      <c r="R29" s="252"/>
      <c r="S29" s="251"/>
      <c r="T29" s="252"/>
      <c r="U29" s="251"/>
      <c r="V29" s="252"/>
      <c r="W29" s="251"/>
      <c r="X29" s="252"/>
      <c r="Y29" s="251"/>
      <c r="Z29" s="252"/>
    </row>
    <row r="30" spans="1:31" x14ac:dyDescent="0.2">
      <c r="A30" s="105" t="s">
        <v>51</v>
      </c>
      <c r="B30" s="92"/>
      <c r="C30" s="59"/>
      <c r="D30" s="59"/>
      <c r="E30" s="59"/>
      <c r="F30" s="59"/>
      <c r="G30" s="253"/>
      <c r="H30" s="253"/>
      <c r="I30" s="253"/>
      <c r="J30" s="253"/>
      <c r="K30" s="253"/>
      <c r="L30" s="253"/>
      <c r="M30" s="253"/>
      <c r="N30" s="253"/>
      <c r="O30" s="253"/>
      <c r="P30" s="253"/>
      <c r="Q30" s="253"/>
      <c r="R30" s="253"/>
      <c r="S30" s="253"/>
      <c r="T30" s="253"/>
      <c r="U30" s="253"/>
      <c r="V30" s="253"/>
      <c r="W30" s="253"/>
      <c r="X30" s="253"/>
      <c r="Y30" s="253"/>
      <c r="Z30" s="253"/>
    </row>
    <row r="31" spans="1:31" ht="13.5" thickBot="1" x14ac:dyDescent="0.25">
      <c r="A31" s="105"/>
      <c r="B31" s="92"/>
      <c r="C31" s="59"/>
      <c r="D31" s="59"/>
      <c r="E31" s="59"/>
      <c r="F31" s="59"/>
      <c r="G31" s="253"/>
      <c r="H31" s="253"/>
      <c r="I31" s="253"/>
      <c r="J31" s="253"/>
      <c r="K31" s="253"/>
      <c r="L31" s="253"/>
      <c r="M31" s="301"/>
      <c r="N31" s="253"/>
      <c r="O31" s="301"/>
      <c r="P31" s="253"/>
      <c r="Q31" s="301"/>
      <c r="R31" s="253"/>
      <c r="S31" s="301"/>
      <c r="T31" s="253"/>
      <c r="U31" s="301"/>
      <c r="V31" s="253"/>
      <c r="W31" s="301"/>
      <c r="X31" s="253"/>
      <c r="Y31" s="301"/>
      <c r="Z31" s="253"/>
    </row>
    <row r="32" spans="1:31" ht="14.25" thickTop="1" thickBot="1" x14ac:dyDescent="0.25">
      <c r="A32" s="3"/>
      <c r="B32" s="867" t="s">
        <v>52</v>
      </c>
      <c r="C32" s="1151" t="s">
        <v>39</v>
      </c>
      <c r="D32" s="1152"/>
      <c r="E32" s="1153" t="s">
        <v>40</v>
      </c>
      <c r="F32" s="1153"/>
      <c r="G32" s="1150" t="s">
        <v>97</v>
      </c>
      <c r="H32" s="1134"/>
      <c r="I32" s="1133" t="s">
        <v>108</v>
      </c>
      <c r="J32" s="1133"/>
      <c r="K32" s="1150" t="s">
        <v>109</v>
      </c>
      <c r="L32" s="1133"/>
      <c r="M32" s="1150" t="s">
        <v>111</v>
      </c>
      <c r="N32" s="1134"/>
      <c r="O32" s="1133" t="s">
        <v>164</v>
      </c>
      <c r="P32" s="1134"/>
      <c r="Q32" s="1133" t="s">
        <v>169</v>
      </c>
      <c r="R32" s="1134"/>
      <c r="S32" s="1133" t="s">
        <v>176</v>
      </c>
      <c r="T32" s="1134"/>
      <c r="U32" s="1133" t="s">
        <v>179</v>
      </c>
      <c r="V32" s="1134"/>
      <c r="W32" s="1133" t="s">
        <v>183</v>
      </c>
      <c r="X32" s="1134"/>
      <c r="Y32" s="1133" t="s">
        <v>187</v>
      </c>
      <c r="Z32" s="1228"/>
      <c r="AB32" s="1197" t="s">
        <v>118</v>
      </c>
      <c r="AC32" s="1222"/>
    </row>
    <row r="33" spans="1:29" x14ac:dyDescent="0.2">
      <c r="A33" s="3"/>
      <c r="B33" s="868" t="s">
        <v>53</v>
      </c>
      <c r="C33" s="151"/>
      <c r="D33" s="152"/>
      <c r="E33" s="34"/>
      <c r="F33" s="34"/>
      <c r="G33" s="281"/>
      <c r="H33" s="361"/>
      <c r="I33" s="254"/>
      <c r="J33" s="254"/>
      <c r="K33" s="281"/>
      <c r="L33" s="254"/>
      <c r="M33" s="281"/>
      <c r="N33" s="361"/>
      <c r="O33" s="254"/>
      <c r="P33" s="361"/>
      <c r="Q33" s="254"/>
      <c r="R33" s="361"/>
      <c r="S33" s="254"/>
      <c r="T33" s="361"/>
      <c r="U33" s="254"/>
      <c r="V33" s="361"/>
      <c r="W33" s="254"/>
      <c r="X33" s="361"/>
      <c r="Y33" s="254"/>
      <c r="Z33" s="1080"/>
      <c r="AA33" s="583"/>
      <c r="AB33" s="33"/>
      <c r="AC33" s="697"/>
    </row>
    <row r="34" spans="1:29" x14ac:dyDescent="0.2">
      <c r="A34" s="3"/>
      <c r="B34" s="869" t="s">
        <v>54</v>
      </c>
      <c r="C34" s="149"/>
      <c r="D34" s="213">
        <v>1070020</v>
      </c>
      <c r="E34" s="33"/>
      <c r="F34" s="220">
        <v>1191213</v>
      </c>
      <c r="G34" s="280"/>
      <c r="H34" s="371">
        <v>1153169</v>
      </c>
      <c r="I34" s="358"/>
      <c r="J34" s="439">
        <v>1273263</v>
      </c>
      <c r="K34" s="280"/>
      <c r="L34" s="439">
        <v>1373505</v>
      </c>
      <c r="M34" s="280"/>
      <c r="N34" s="371">
        <v>1453880</v>
      </c>
      <c r="O34" s="358"/>
      <c r="P34" s="371">
        <v>1456205</v>
      </c>
      <c r="Q34" s="358"/>
      <c r="R34" s="371">
        <v>1472098</v>
      </c>
      <c r="S34" s="358"/>
      <c r="T34" s="371">
        <v>1509643</v>
      </c>
      <c r="U34" s="358"/>
      <c r="V34" s="371">
        <v>1548012</v>
      </c>
      <c r="W34" s="358"/>
      <c r="X34" s="371">
        <v>1518251</v>
      </c>
      <c r="Y34" s="358"/>
      <c r="Z34" s="1081">
        <v>1596568</v>
      </c>
      <c r="AA34" s="583"/>
      <c r="AB34" s="34"/>
      <c r="AC34" s="681">
        <f>AVERAGE(X34,V34,T34,R34,Z34)</f>
        <v>1528914.4</v>
      </c>
    </row>
    <row r="35" spans="1:29" ht="36" x14ac:dyDescent="0.2">
      <c r="A35" s="3"/>
      <c r="B35" s="870" t="s">
        <v>65</v>
      </c>
      <c r="C35" s="151"/>
      <c r="D35" s="214"/>
      <c r="E35" s="34"/>
      <c r="F35" s="221"/>
      <c r="G35" s="281"/>
      <c r="H35" s="372"/>
      <c r="I35" s="254"/>
      <c r="J35" s="440">
        <v>18931</v>
      </c>
      <c r="K35" s="281"/>
      <c r="L35" s="440">
        <v>0</v>
      </c>
      <c r="M35" s="281"/>
      <c r="N35" s="372">
        <v>123499</v>
      </c>
      <c r="O35" s="254"/>
      <c r="P35" s="372">
        <v>123506</v>
      </c>
      <c r="Q35" s="254"/>
      <c r="R35" s="372">
        <v>124511</v>
      </c>
      <c r="S35" s="254"/>
      <c r="T35" s="372">
        <v>91178</v>
      </c>
      <c r="U35" s="254"/>
      <c r="V35" s="372">
        <v>102252</v>
      </c>
      <c r="W35" s="254"/>
      <c r="X35" s="372">
        <v>195393</v>
      </c>
      <c r="Y35" s="254"/>
      <c r="Z35" s="1082">
        <v>172145</v>
      </c>
      <c r="AA35" s="583"/>
      <c r="AB35" s="33"/>
      <c r="AC35" s="682">
        <f t="shared" ref="AC35:AC36" si="2">AVERAGE(X35,V35,T35,R35,Z35)</f>
        <v>137095.79999999999</v>
      </c>
    </row>
    <row r="36" spans="1:29" x14ac:dyDescent="0.2">
      <c r="A36" s="3"/>
      <c r="B36" s="871" t="s">
        <v>56</v>
      </c>
      <c r="C36" s="215"/>
      <c r="D36" s="216">
        <f>SUM(D34:D35)</f>
        <v>1070020</v>
      </c>
      <c r="E36" s="106"/>
      <c r="F36" s="222">
        <f>SUM(F34:F35)</f>
        <v>1191213</v>
      </c>
      <c r="G36" s="284"/>
      <c r="H36" s="373">
        <f>SUM(H34:H35)</f>
        <v>1153169</v>
      </c>
      <c r="I36" s="365"/>
      <c r="J36" s="441">
        <f>SUM(J34:J35)</f>
        <v>1292194</v>
      </c>
      <c r="K36" s="284"/>
      <c r="L36" s="441">
        <f>SUM(L34:L35)</f>
        <v>1373505</v>
      </c>
      <c r="M36" s="284"/>
      <c r="N36" s="373">
        <f>SUM(N34:N35)</f>
        <v>1577379</v>
      </c>
      <c r="O36" s="365"/>
      <c r="P36" s="373">
        <f>SUM(P34:P35)</f>
        <v>1579711</v>
      </c>
      <c r="Q36" s="365"/>
      <c r="R36" s="373">
        <f>SUM(R34:R35)</f>
        <v>1596609</v>
      </c>
      <c r="S36" s="365"/>
      <c r="T36" s="373">
        <f>SUM(T34:T35)</f>
        <v>1600821</v>
      </c>
      <c r="U36" s="365"/>
      <c r="V36" s="373">
        <f>SUM(V34:V35)</f>
        <v>1650264</v>
      </c>
      <c r="W36" s="365"/>
      <c r="X36" s="373">
        <f>SUM(X34:X35)</f>
        <v>1713644</v>
      </c>
      <c r="Y36" s="365"/>
      <c r="Z36" s="1083">
        <f>SUM(Z34:Z35)</f>
        <v>1768713</v>
      </c>
      <c r="AA36" s="583"/>
      <c r="AB36" s="34"/>
      <c r="AC36" s="681">
        <f t="shared" si="2"/>
        <v>1666010.2</v>
      </c>
    </row>
    <row r="37" spans="1:29" x14ac:dyDescent="0.2">
      <c r="A37" s="3"/>
      <c r="B37" s="868" t="s">
        <v>57</v>
      </c>
      <c r="C37" s="151"/>
      <c r="D37" s="214"/>
      <c r="E37" s="34"/>
      <c r="F37" s="221"/>
      <c r="G37" s="281"/>
      <c r="H37" s="372"/>
      <c r="I37" s="254"/>
      <c r="J37" s="440"/>
      <c r="K37" s="281"/>
      <c r="L37" s="440"/>
      <c r="M37" s="281"/>
      <c r="N37" s="372"/>
      <c r="O37" s="254"/>
      <c r="P37" s="372"/>
      <c r="Q37" s="254"/>
      <c r="R37" s="372"/>
      <c r="S37" s="254"/>
      <c r="T37" s="372"/>
      <c r="U37" s="254"/>
      <c r="V37" s="372"/>
      <c r="W37" s="254"/>
      <c r="X37" s="372"/>
      <c r="Y37" s="254"/>
      <c r="Z37" s="1082"/>
      <c r="AA37" s="583"/>
      <c r="AC37" s="678"/>
    </row>
    <row r="38" spans="1:29" x14ac:dyDescent="0.2">
      <c r="A38" s="3"/>
      <c r="B38" s="869" t="s">
        <v>54</v>
      </c>
      <c r="C38" s="151"/>
      <c r="D38" s="214"/>
      <c r="E38" s="34"/>
      <c r="F38" s="221"/>
      <c r="G38" s="281"/>
      <c r="H38" s="372"/>
      <c r="I38" s="254"/>
      <c r="J38" s="440"/>
      <c r="K38" s="281"/>
      <c r="L38" s="440"/>
      <c r="M38" s="281"/>
      <c r="N38" s="372"/>
      <c r="O38" s="254"/>
      <c r="P38" s="372"/>
      <c r="Q38" s="254"/>
      <c r="R38" s="372"/>
      <c r="S38" s="254"/>
      <c r="T38" s="372"/>
      <c r="U38" s="254"/>
      <c r="V38" s="372"/>
      <c r="W38" s="254"/>
      <c r="X38" s="372"/>
      <c r="Y38" s="254"/>
      <c r="Z38" s="1082"/>
      <c r="AA38" s="583"/>
      <c r="AC38" s="678"/>
    </row>
    <row r="39" spans="1:29" ht="36" x14ac:dyDescent="0.2">
      <c r="A39" s="3"/>
      <c r="B39" s="870" t="s">
        <v>65</v>
      </c>
      <c r="C39" s="151"/>
      <c r="D39" s="214"/>
      <c r="E39" s="34"/>
      <c r="F39" s="221"/>
      <c r="G39" s="281"/>
      <c r="H39" s="372"/>
      <c r="I39" s="254"/>
      <c r="J39" s="440"/>
      <c r="K39" s="281"/>
      <c r="L39" s="440"/>
      <c r="M39" s="281"/>
      <c r="N39" s="372"/>
      <c r="O39" s="254"/>
      <c r="P39" s="372"/>
      <c r="Q39" s="254"/>
      <c r="R39" s="372"/>
      <c r="S39" s="254"/>
      <c r="T39" s="372"/>
      <c r="U39" s="254"/>
      <c r="V39" s="372"/>
      <c r="W39" s="254"/>
      <c r="X39" s="372"/>
      <c r="Y39" s="254"/>
      <c r="Z39" s="1082"/>
      <c r="AA39" s="583"/>
      <c r="AB39" s="33"/>
      <c r="AC39" s="682"/>
    </row>
    <row r="40" spans="1:29" x14ac:dyDescent="0.2">
      <c r="A40" s="3"/>
      <c r="B40" s="871" t="s">
        <v>59</v>
      </c>
      <c r="C40" s="215"/>
      <c r="D40" s="216">
        <f>SUM(D38:D39)</f>
        <v>0</v>
      </c>
      <c r="E40" s="106"/>
      <c r="F40" s="222">
        <f>SUM(F38:F39)</f>
        <v>0</v>
      </c>
      <c r="G40" s="284"/>
      <c r="H40" s="373">
        <f>SUM(H38:H39)</f>
        <v>0</v>
      </c>
      <c r="I40" s="365"/>
      <c r="J40" s="441">
        <f>SUM(J38:J39)</f>
        <v>0</v>
      </c>
      <c r="K40" s="284"/>
      <c r="L40" s="441">
        <f>SUM(L38:L39)</f>
        <v>0</v>
      </c>
      <c r="M40" s="284"/>
      <c r="N40" s="373">
        <f>SUM(N38:N39)</f>
        <v>0</v>
      </c>
      <c r="O40" s="365"/>
      <c r="P40" s="373">
        <f>SUM(P38:P39)</f>
        <v>0</v>
      </c>
      <c r="Q40" s="365"/>
      <c r="R40" s="373">
        <f>SUM(R38:R39)</f>
        <v>0</v>
      </c>
      <c r="S40" s="365"/>
      <c r="T40" s="373">
        <f>SUM(T38:T39)</f>
        <v>0</v>
      </c>
      <c r="U40" s="365"/>
      <c r="V40" s="373">
        <f>SUM(V38:V39)</f>
        <v>0</v>
      </c>
      <c r="W40" s="365"/>
      <c r="X40" s="373">
        <f>SUM(X38:X39)</f>
        <v>0</v>
      </c>
      <c r="Y40" s="365"/>
      <c r="Z40" s="1083">
        <f>SUM(Z38:Z39)</f>
        <v>0</v>
      </c>
      <c r="AB40" s="677"/>
      <c r="AC40" s="681">
        <f t="shared" ref="AC40" si="3">AVERAGE(X40,V40,T40,R40,P40)</f>
        <v>0</v>
      </c>
    </row>
    <row r="41" spans="1:29" ht="13.5" thickBot="1" x14ac:dyDescent="0.25">
      <c r="A41" s="3"/>
      <c r="B41" s="872" t="s">
        <v>60</v>
      </c>
      <c r="C41" s="151"/>
      <c r="D41" s="216">
        <f>SUM(D36,D40)</f>
        <v>1070020</v>
      </c>
      <c r="E41" s="34"/>
      <c r="F41" s="222">
        <f>SUM(F36,F40)</f>
        <v>1191213</v>
      </c>
      <c r="G41" s="281"/>
      <c r="H41" s="373">
        <f>SUM(H36,H40)</f>
        <v>1153169</v>
      </c>
      <c r="I41" s="254"/>
      <c r="J41" s="441">
        <f>SUM(J36,J40)</f>
        <v>1292194</v>
      </c>
      <c r="K41" s="281"/>
      <c r="L41" s="441">
        <f>SUM(L36,L40)</f>
        <v>1373505</v>
      </c>
      <c r="M41" s="281"/>
      <c r="N41" s="373">
        <f>SUM(N36,N40)</f>
        <v>1577379</v>
      </c>
      <c r="O41" s="254"/>
      <c r="P41" s="373">
        <f>SUM(P36,P40)</f>
        <v>1579711</v>
      </c>
      <c r="Q41" s="254"/>
      <c r="R41" s="373">
        <f>SUM(R36,R40)</f>
        <v>1596609</v>
      </c>
      <c r="S41" s="254"/>
      <c r="T41" s="373">
        <f>SUM(T36,T40)</f>
        <v>1600821</v>
      </c>
      <c r="U41" s="254"/>
      <c r="V41" s="373">
        <f>SUM(V36,V40)</f>
        <v>1650264</v>
      </c>
      <c r="W41" s="254"/>
      <c r="X41" s="373">
        <f>SUM(X36,X40)</f>
        <v>1713644</v>
      </c>
      <c r="Y41" s="254"/>
      <c r="Z41" s="1083">
        <f>SUM(Z36,Z40)</f>
        <v>1768713</v>
      </c>
      <c r="AB41" s="679"/>
      <c r="AC41" s="680">
        <f>AVERAGE(X41,V41,T41,R41,Z41)</f>
        <v>1666010.2</v>
      </c>
    </row>
    <row r="42" spans="1:29" ht="12" x14ac:dyDescent="0.2">
      <c r="B42" s="873" t="s">
        <v>173</v>
      </c>
      <c r="C42" s="218"/>
      <c r="D42" s="219"/>
      <c r="E42" s="109"/>
      <c r="F42" s="109"/>
      <c r="G42" s="285"/>
      <c r="H42" s="374"/>
      <c r="I42" s="366"/>
      <c r="J42" s="366"/>
      <c r="K42" s="285"/>
      <c r="L42" s="366"/>
      <c r="M42" s="285"/>
      <c r="N42" s="374"/>
      <c r="O42" s="366"/>
      <c r="P42" s="374"/>
      <c r="Q42" s="366"/>
      <c r="R42" s="374"/>
      <c r="S42" s="366"/>
      <c r="T42" s="374"/>
      <c r="U42" s="366"/>
      <c r="V42" s="374"/>
      <c r="W42" s="366"/>
      <c r="X42" s="374"/>
      <c r="Y42" s="366"/>
      <c r="Z42" s="1084"/>
      <c r="AB42" s="683"/>
      <c r="AC42" s="684"/>
    </row>
    <row r="43" spans="1:29" ht="12" x14ac:dyDescent="0.2">
      <c r="B43" s="49" t="s">
        <v>13</v>
      </c>
      <c r="C43" s="165"/>
      <c r="D43" s="535">
        <f>208947+864254</f>
        <v>1073201</v>
      </c>
      <c r="E43" s="536"/>
      <c r="F43" s="537">
        <v>1217240</v>
      </c>
      <c r="G43" s="538"/>
      <c r="H43" s="539">
        <v>1386645.48</v>
      </c>
      <c r="I43" s="537"/>
      <c r="J43" s="540">
        <v>1330330.8</v>
      </c>
      <c r="K43" s="538"/>
      <c r="L43" s="537">
        <f>1302770+1311+73143+1361</f>
        <v>1378585</v>
      </c>
      <c r="M43" s="538"/>
      <c r="N43" s="423">
        <v>1574193</v>
      </c>
      <c r="O43" s="537"/>
      <c r="P43" s="972">
        <v>1560401</v>
      </c>
      <c r="Q43" s="970"/>
      <c r="R43" s="972">
        <v>1474338</v>
      </c>
      <c r="S43" s="970"/>
      <c r="T43" s="972">
        <v>1575660</v>
      </c>
      <c r="U43" s="970"/>
      <c r="V43" s="972">
        <v>1818680</v>
      </c>
      <c r="W43" s="970"/>
      <c r="X43" s="972">
        <v>2009408.85</v>
      </c>
      <c r="Y43" s="970"/>
      <c r="Z43" s="1085"/>
      <c r="AB43" s="677"/>
      <c r="AC43" s="685">
        <f>AVERAGE(X43,V43,T43,R43,P43)</f>
        <v>1687697.5699999998</v>
      </c>
    </row>
    <row r="44" spans="1:29" thickBot="1" x14ac:dyDescent="0.25">
      <c r="B44" s="877" t="s">
        <v>14</v>
      </c>
      <c r="C44" s="167"/>
      <c r="D44" s="541">
        <v>0</v>
      </c>
      <c r="E44" s="542"/>
      <c r="F44" s="544">
        <v>0</v>
      </c>
      <c r="G44" s="543"/>
      <c r="H44" s="545">
        <v>0</v>
      </c>
      <c r="I44" s="544"/>
      <c r="J44" s="546">
        <v>0</v>
      </c>
      <c r="K44" s="543"/>
      <c r="L44" s="544">
        <v>0</v>
      </c>
      <c r="M44" s="543"/>
      <c r="N44" s="781">
        <v>0</v>
      </c>
      <c r="O44" s="544"/>
      <c r="P44" s="986">
        <v>0</v>
      </c>
      <c r="Q44" s="971"/>
      <c r="R44" s="986">
        <v>0</v>
      </c>
      <c r="S44" s="971"/>
      <c r="T44" s="986">
        <v>0</v>
      </c>
      <c r="U44" s="971"/>
      <c r="V44" s="986">
        <v>0</v>
      </c>
      <c r="W44" s="971"/>
      <c r="X44" s="986">
        <v>0</v>
      </c>
      <c r="Y44" s="971"/>
      <c r="Z44" s="1086"/>
      <c r="AB44" s="679"/>
      <c r="AC44" s="777">
        <f>AVERAGE(X44,V44,T44,R44,P44)</f>
        <v>0</v>
      </c>
    </row>
    <row r="45" spans="1:29" ht="12" x14ac:dyDescent="0.2">
      <c r="B45" s="879"/>
      <c r="C45" s="169" t="s">
        <v>89</v>
      </c>
      <c r="D45" s="170" t="s">
        <v>96</v>
      </c>
      <c r="E45" s="95" t="s">
        <v>89</v>
      </c>
      <c r="F45" s="183" t="s">
        <v>96</v>
      </c>
      <c r="G45" s="288" t="s">
        <v>89</v>
      </c>
      <c r="H45" s="375" t="s">
        <v>96</v>
      </c>
      <c r="I45" s="255" t="s">
        <v>89</v>
      </c>
      <c r="J45" s="412" t="s">
        <v>96</v>
      </c>
      <c r="K45" s="288" t="s">
        <v>89</v>
      </c>
      <c r="L45" s="412" t="s">
        <v>96</v>
      </c>
      <c r="M45" s="288" t="s">
        <v>89</v>
      </c>
      <c r="N45" s="375" t="s">
        <v>96</v>
      </c>
      <c r="O45" s="255" t="s">
        <v>89</v>
      </c>
      <c r="P45" s="375" t="s">
        <v>96</v>
      </c>
      <c r="Q45" s="255" t="s">
        <v>89</v>
      </c>
      <c r="R45" s="375" t="s">
        <v>96</v>
      </c>
      <c r="S45" s="255" t="s">
        <v>89</v>
      </c>
      <c r="T45" s="375" t="s">
        <v>96</v>
      </c>
      <c r="U45" s="255" t="s">
        <v>89</v>
      </c>
      <c r="V45" s="375" t="s">
        <v>96</v>
      </c>
      <c r="W45" s="255" t="s">
        <v>89</v>
      </c>
      <c r="X45" s="375" t="s">
        <v>96</v>
      </c>
      <c r="Y45" s="255" t="s">
        <v>89</v>
      </c>
      <c r="Z45" s="256" t="s">
        <v>96</v>
      </c>
      <c r="AB45" s="736" t="s">
        <v>89</v>
      </c>
      <c r="AC45" s="256" t="s">
        <v>96</v>
      </c>
    </row>
    <row r="46" spans="1:29" ht="11.45" customHeight="1" x14ac:dyDescent="0.2">
      <c r="B46" s="52" t="s">
        <v>47</v>
      </c>
      <c r="C46" s="171">
        <v>0</v>
      </c>
      <c r="D46" s="464">
        <v>0</v>
      </c>
      <c r="E46" s="273">
        <v>0</v>
      </c>
      <c r="F46" s="464">
        <v>0</v>
      </c>
      <c r="G46" s="273">
        <v>0</v>
      </c>
      <c r="H46" s="464">
        <v>0</v>
      </c>
      <c r="I46" s="470">
        <v>1</v>
      </c>
      <c r="J46" s="462">
        <v>0</v>
      </c>
      <c r="K46" s="554">
        <v>0</v>
      </c>
      <c r="L46" s="567">
        <v>0</v>
      </c>
      <c r="M46" s="576">
        <v>1</v>
      </c>
      <c r="N46" s="464">
        <v>82711</v>
      </c>
      <c r="O46" s="576">
        <v>1</v>
      </c>
      <c r="P46" s="464">
        <v>178151</v>
      </c>
      <c r="Q46" s="576">
        <v>0</v>
      </c>
      <c r="R46" s="464">
        <v>0</v>
      </c>
      <c r="S46" s="576">
        <v>0</v>
      </c>
      <c r="T46" s="464">
        <v>0</v>
      </c>
      <c r="U46" s="576">
        <v>1</v>
      </c>
      <c r="V46" s="464">
        <v>168624</v>
      </c>
      <c r="W46" s="576">
        <v>0</v>
      </c>
      <c r="X46" s="464">
        <v>0</v>
      </c>
      <c r="Y46" s="841"/>
      <c r="Z46" s="1087"/>
      <c r="AB46" s="723">
        <f t="shared" ref="AB46:AC46" si="4">AVERAGE(W46,U46,S46,Q46,Y46)</f>
        <v>0.25</v>
      </c>
      <c r="AC46" s="724">
        <f t="shared" si="4"/>
        <v>42156</v>
      </c>
    </row>
    <row r="47" spans="1:29" ht="11.25" customHeight="1" x14ac:dyDescent="0.2">
      <c r="B47" s="52"/>
      <c r="C47" s="172"/>
      <c r="D47" s="465"/>
      <c r="E47" s="274"/>
      <c r="F47" s="465"/>
      <c r="G47" s="274"/>
      <c r="H47" s="465"/>
      <c r="I47" s="471"/>
      <c r="J47" s="463"/>
      <c r="K47" s="534"/>
      <c r="L47" s="558"/>
      <c r="M47" s="817"/>
      <c r="N47" s="465"/>
      <c r="O47" s="817"/>
      <c r="P47" s="465"/>
      <c r="Q47" s="817"/>
      <c r="R47" s="465"/>
      <c r="S47" s="817"/>
      <c r="T47" s="465"/>
      <c r="U47" s="817"/>
      <c r="V47" s="465"/>
      <c r="W47" s="817"/>
      <c r="X47" s="465"/>
      <c r="Y47" s="842"/>
      <c r="Z47" s="1088"/>
      <c r="AB47" s="725"/>
      <c r="AC47" s="726"/>
    </row>
    <row r="48" spans="1:29" thickBot="1" x14ac:dyDescent="0.25">
      <c r="B48" s="880" t="s">
        <v>15</v>
      </c>
      <c r="C48" s="174">
        <v>0</v>
      </c>
      <c r="D48" s="459">
        <v>0</v>
      </c>
      <c r="E48" s="275">
        <v>0</v>
      </c>
      <c r="F48" s="459">
        <v>0</v>
      </c>
      <c r="G48" s="275">
        <v>0</v>
      </c>
      <c r="H48" s="459">
        <v>0</v>
      </c>
      <c r="I48" s="460">
        <v>0</v>
      </c>
      <c r="J48" s="461">
        <v>0</v>
      </c>
      <c r="K48" s="569">
        <v>0</v>
      </c>
      <c r="L48" s="568">
        <v>0</v>
      </c>
      <c r="M48" s="718">
        <v>0</v>
      </c>
      <c r="N48" s="459">
        <v>0</v>
      </c>
      <c r="O48" s="718">
        <v>1</v>
      </c>
      <c r="P48" s="459">
        <v>15463</v>
      </c>
      <c r="Q48" s="718">
        <v>1</v>
      </c>
      <c r="R48" s="459">
        <v>3250</v>
      </c>
      <c r="S48" s="718">
        <v>0</v>
      </c>
      <c r="T48" s="459">
        <v>0</v>
      </c>
      <c r="U48" s="718">
        <v>0</v>
      </c>
      <c r="V48" s="459">
        <v>0</v>
      </c>
      <c r="W48" s="718">
        <v>1</v>
      </c>
      <c r="X48" s="459">
        <v>10000</v>
      </c>
      <c r="Y48" s="843"/>
      <c r="Z48" s="1089"/>
      <c r="AB48" s="727">
        <f t="shared" ref="AB48:AC48" si="5">AVERAGE(W48,U48,S48,Q48,Y48)</f>
        <v>0.5</v>
      </c>
      <c r="AC48" s="728">
        <f t="shared" si="5"/>
        <v>3312.5</v>
      </c>
    </row>
    <row r="49" spans="1:29" ht="12" x14ac:dyDescent="0.2">
      <c r="B49" s="873" t="s">
        <v>66</v>
      </c>
      <c r="C49" s="175"/>
      <c r="D49" s="186"/>
      <c r="E49" s="114"/>
      <c r="F49" s="283"/>
      <c r="G49" s="289"/>
      <c r="H49" s="376"/>
      <c r="I49" s="368"/>
      <c r="J49" s="433"/>
      <c r="K49" s="289"/>
      <c r="L49" s="433"/>
      <c r="M49" s="289"/>
      <c r="N49" s="376"/>
      <c r="O49" s="368"/>
      <c r="P49" s="376"/>
      <c r="Q49" s="368"/>
      <c r="R49" s="376"/>
      <c r="S49" s="368"/>
      <c r="T49" s="376"/>
      <c r="U49" s="368"/>
      <c r="V49" s="376"/>
      <c r="W49" s="368"/>
      <c r="X49" s="376"/>
      <c r="Y49" s="368"/>
      <c r="Z49" s="1090"/>
      <c r="AA49" s="583"/>
      <c r="AC49" s="583"/>
    </row>
    <row r="50" spans="1:29" ht="7.5" customHeight="1" x14ac:dyDescent="0.2">
      <c r="B50" s="881" t="s">
        <v>67</v>
      </c>
      <c r="C50" s="177"/>
      <c r="D50" s="187"/>
      <c r="E50" s="39"/>
      <c r="F50" s="61"/>
      <c r="G50" s="290"/>
      <c r="H50" s="377"/>
      <c r="I50" s="257"/>
      <c r="J50" s="250"/>
      <c r="K50" s="290"/>
      <c r="L50" s="250"/>
      <c r="M50" s="290"/>
      <c r="N50" s="377"/>
      <c r="O50" s="257"/>
      <c r="P50" s="377"/>
      <c r="Q50" s="257"/>
      <c r="R50" s="377"/>
      <c r="S50" s="257"/>
      <c r="T50" s="377"/>
      <c r="U50" s="257"/>
      <c r="V50" s="377"/>
      <c r="W50" s="257"/>
      <c r="X50" s="377"/>
      <c r="Y50" s="257"/>
      <c r="Z50" s="258"/>
      <c r="AA50" s="583"/>
      <c r="AC50" s="583"/>
    </row>
    <row r="51" spans="1:29" ht="12" x14ac:dyDescent="0.2">
      <c r="B51" s="894" t="s">
        <v>68</v>
      </c>
      <c r="C51" s="178"/>
      <c r="D51" s="188">
        <v>25103</v>
      </c>
      <c r="E51" s="37"/>
      <c r="F51" s="307">
        <v>21850</v>
      </c>
      <c r="G51" s="291"/>
      <c r="H51" s="485">
        <v>18300</v>
      </c>
      <c r="I51" s="291"/>
      <c r="J51" s="502">
        <v>23995</v>
      </c>
      <c r="K51" s="500"/>
      <c r="L51" s="559">
        <v>30145</v>
      </c>
      <c r="M51" s="500"/>
      <c r="N51" s="839">
        <v>23964</v>
      </c>
      <c r="O51" s="813"/>
      <c r="P51" s="839">
        <v>15070</v>
      </c>
      <c r="Q51" s="813"/>
      <c r="R51" s="839">
        <v>15340</v>
      </c>
      <c r="S51" s="813"/>
      <c r="T51" s="839">
        <v>18161.61</v>
      </c>
      <c r="U51" s="813"/>
      <c r="V51" s="839">
        <v>58192.5</v>
      </c>
      <c r="W51" s="813"/>
      <c r="X51" s="839">
        <v>182000</v>
      </c>
      <c r="Y51" s="813"/>
      <c r="Z51" s="1091"/>
      <c r="AA51" s="583"/>
      <c r="AB51" s="33"/>
      <c r="AC51" s="687">
        <f t="shared" ref="AC51:AC52" si="6">AVERAGE(X51,V51,T51,R51,P51)</f>
        <v>57752.822</v>
      </c>
    </row>
    <row r="52" spans="1:29" thickBot="1" x14ac:dyDescent="0.25">
      <c r="B52" s="895" t="s">
        <v>69</v>
      </c>
      <c r="C52" s="180"/>
      <c r="D52" s="486">
        <v>0</v>
      </c>
      <c r="E52" s="38"/>
      <c r="F52" s="330">
        <v>0</v>
      </c>
      <c r="G52" s="292"/>
      <c r="H52" s="486">
        <v>0</v>
      </c>
      <c r="I52" s="370"/>
      <c r="J52" s="505">
        <v>0</v>
      </c>
      <c r="K52" s="501"/>
      <c r="L52" s="505">
        <v>0</v>
      </c>
      <c r="M52" s="501"/>
      <c r="N52" s="840">
        <v>0</v>
      </c>
      <c r="O52" s="814"/>
      <c r="P52" s="840">
        <v>0</v>
      </c>
      <c r="Q52" s="814"/>
      <c r="R52" s="840">
        <v>0</v>
      </c>
      <c r="S52" s="814"/>
      <c r="T52" s="840">
        <v>0</v>
      </c>
      <c r="U52" s="814"/>
      <c r="V52" s="840">
        <v>0</v>
      </c>
      <c r="W52" s="814"/>
      <c r="X52" s="840">
        <v>0</v>
      </c>
      <c r="Y52" s="814"/>
      <c r="Z52" s="1092"/>
      <c r="AA52" s="583"/>
      <c r="AB52" s="12"/>
      <c r="AC52" s="686">
        <f t="shared" si="6"/>
        <v>0</v>
      </c>
    </row>
    <row r="53" spans="1:29" thickTop="1" x14ac:dyDescent="0.2">
      <c r="B53" s="92"/>
      <c r="C53" s="39"/>
      <c r="D53" s="93"/>
      <c r="E53" s="39"/>
      <c r="F53" s="95"/>
      <c r="G53" s="257"/>
      <c r="H53" s="255"/>
      <c r="I53" s="257"/>
      <c r="J53" s="255"/>
      <c r="K53" s="257"/>
      <c r="L53" s="255"/>
      <c r="M53" s="257"/>
      <c r="N53" s="255"/>
      <c r="O53" s="847"/>
      <c r="P53" s="255"/>
      <c r="Q53" s="847"/>
      <c r="R53" s="255"/>
      <c r="S53" s="847"/>
      <c r="T53" s="255"/>
      <c r="U53" s="847"/>
      <c r="V53" s="255"/>
      <c r="W53" s="847"/>
      <c r="X53" s="255"/>
      <c r="Y53" s="847"/>
      <c r="Z53" s="255"/>
      <c r="AC53" s="605"/>
    </row>
    <row r="54" spans="1:29" x14ac:dyDescent="0.2">
      <c r="A54" s="3" t="s">
        <v>62</v>
      </c>
      <c r="B54" s="92"/>
      <c r="C54" s="39"/>
      <c r="D54" s="93"/>
      <c r="E54" s="39"/>
      <c r="F54" s="95"/>
      <c r="G54" s="257"/>
      <c r="H54" s="255"/>
      <c r="I54" s="257"/>
      <c r="J54" s="255"/>
      <c r="K54" s="257"/>
      <c r="L54" s="255"/>
      <c r="M54" s="257"/>
      <c r="N54" s="255"/>
      <c r="O54" s="257"/>
      <c r="P54" s="255"/>
      <c r="Q54" s="257"/>
      <c r="R54" s="255"/>
      <c r="S54" s="257"/>
      <c r="T54" s="255"/>
      <c r="U54" s="257"/>
      <c r="V54" s="255"/>
      <c r="W54" s="257"/>
      <c r="X54" s="255"/>
      <c r="Y54" s="257"/>
      <c r="Z54" s="255"/>
      <c r="AC54" s="59"/>
    </row>
    <row r="55" spans="1:29" thickBot="1" x14ac:dyDescent="0.25">
      <c r="B55" s="92"/>
      <c r="C55" s="39"/>
      <c r="D55" s="93"/>
      <c r="E55" s="39"/>
      <c r="F55" s="95"/>
      <c r="G55" s="257"/>
      <c r="H55" s="255"/>
      <c r="I55" s="257"/>
      <c r="J55" s="255"/>
      <c r="K55" s="257"/>
      <c r="L55" s="255"/>
      <c r="M55" s="564"/>
      <c r="N55" s="255"/>
      <c r="O55" s="564"/>
      <c r="P55" s="255"/>
      <c r="Q55" s="564"/>
      <c r="R55" s="255"/>
      <c r="S55" s="564"/>
      <c r="T55" s="255"/>
      <c r="U55" s="564"/>
      <c r="V55" s="255"/>
      <c r="W55" s="564"/>
      <c r="X55" s="255"/>
      <c r="Y55" s="564"/>
      <c r="Z55" s="255"/>
      <c r="AB55" s="12"/>
      <c r="AC55" s="12"/>
    </row>
    <row r="56" spans="1:29" ht="13.5" thickTop="1" thickBot="1" x14ac:dyDescent="0.25">
      <c r="B56" s="866"/>
      <c r="C56" s="1151" t="s">
        <v>39</v>
      </c>
      <c r="D56" s="1152"/>
      <c r="E56" s="1151" t="s">
        <v>40</v>
      </c>
      <c r="F56" s="1152"/>
      <c r="G56" s="1133" t="s">
        <v>97</v>
      </c>
      <c r="H56" s="1134"/>
      <c r="I56" s="1133" t="s">
        <v>108</v>
      </c>
      <c r="J56" s="1133"/>
      <c r="K56" s="1150" t="s">
        <v>109</v>
      </c>
      <c r="L56" s="1133"/>
      <c r="M56" s="1150" t="s">
        <v>111</v>
      </c>
      <c r="N56" s="1134"/>
      <c r="O56" s="1133" t="s">
        <v>164</v>
      </c>
      <c r="P56" s="1134"/>
      <c r="Q56" s="1133" t="s">
        <v>169</v>
      </c>
      <c r="R56" s="1134"/>
      <c r="S56" s="1133" t="s">
        <v>176</v>
      </c>
      <c r="T56" s="1134"/>
      <c r="U56" s="1133" t="s">
        <v>179</v>
      </c>
      <c r="V56" s="1134"/>
      <c r="W56" s="1133" t="s">
        <v>183</v>
      </c>
      <c r="X56" s="1134"/>
      <c r="Y56" s="1133" t="s">
        <v>187</v>
      </c>
      <c r="Z56" s="1134"/>
      <c r="AB56" s="1197" t="s">
        <v>118</v>
      </c>
      <c r="AC56" s="1222"/>
    </row>
    <row r="57" spans="1:29" ht="12" x14ac:dyDescent="0.2">
      <c r="B57" s="45" t="s">
        <v>43</v>
      </c>
      <c r="C57" s="149"/>
      <c r="D57" s="150"/>
      <c r="E57" s="33"/>
      <c r="F57" s="33"/>
      <c r="G57" s="280"/>
      <c r="H57" s="360"/>
      <c r="I57" s="358"/>
      <c r="J57" s="358"/>
      <c r="K57" s="280"/>
      <c r="L57" s="358"/>
      <c r="M57" s="280"/>
      <c r="N57" s="360"/>
      <c r="O57" s="358"/>
      <c r="P57" s="360"/>
      <c r="Q57" s="358"/>
      <c r="R57" s="360"/>
      <c r="S57" s="358"/>
      <c r="T57" s="360"/>
      <c r="U57" s="358"/>
      <c r="V57" s="360"/>
      <c r="W57" s="358"/>
      <c r="X57" s="360"/>
      <c r="Y57" s="358"/>
      <c r="Z57" s="360"/>
      <c r="AA57" s="583"/>
      <c r="AC57" s="583"/>
    </row>
    <row r="58" spans="1:29" ht="12" x14ac:dyDescent="0.2">
      <c r="B58" s="46" t="s">
        <v>44</v>
      </c>
      <c r="C58" s="151"/>
      <c r="D58" s="191"/>
      <c r="E58" s="34"/>
      <c r="F58" s="117"/>
      <c r="G58" s="281"/>
      <c r="H58" s="383"/>
      <c r="I58" s="254"/>
      <c r="J58" s="259"/>
      <c r="K58" s="281"/>
      <c r="L58" s="259"/>
      <c r="M58" s="281"/>
      <c r="N58" s="383"/>
      <c r="O58" s="254"/>
      <c r="P58" s="383"/>
      <c r="Q58" s="254"/>
      <c r="R58" s="383"/>
      <c r="S58" s="254"/>
      <c r="T58" s="383"/>
      <c r="U58" s="254"/>
      <c r="V58" s="383"/>
      <c r="W58" s="254"/>
      <c r="X58" s="383"/>
      <c r="Y58" s="254"/>
      <c r="Z58" s="383"/>
      <c r="AA58" s="583"/>
      <c r="AC58" s="583"/>
    </row>
    <row r="59" spans="1:29" ht="12" x14ac:dyDescent="0.2">
      <c r="B59" s="47" t="s">
        <v>45</v>
      </c>
      <c r="C59" s="151"/>
      <c r="D59" s="191">
        <v>11</v>
      </c>
      <c r="E59" s="34"/>
      <c r="F59" s="117">
        <v>12</v>
      </c>
      <c r="G59" s="281"/>
      <c r="H59" s="383">
        <v>10</v>
      </c>
      <c r="I59" s="254"/>
      <c r="J59" s="259">
        <v>10</v>
      </c>
      <c r="K59" s="281"/>
      <c r="L59" s="259">
        <v>11</v>
      </c>
      <c r="M59" s="281"/>
      <c r="N59" s="383">
        <v>12</v>
      </c>
      <c r="O59" s="254"/>
      <c r="P59" s="383">
        <v>12</v>
      </c>
      <c r="Q59" s="254"/>
      <c r="R59" s="383">
        <v>10</v>
      </c>
      <c r="S59" s="254"/>
      <c r="T59" s="383">
        <v>10</v>
      </c>
      <c r="U59" s="254"/>
      <c r="V59" s="383">
        <v>12</v>
      </c>
      <c r="W59" s="254"/>
      <c r="X59" s="383">
        <v>11</v>
      </c>
      <c r="Y59" s="254"/>
      <c r="Z59" s="383">
        <v>11</v>
      </c>
      <c r="AA59" s="583"/>
      <c r="AC59" s="601">
        <f t="shared" ref="AC59:AC60" si="7">AVERAGE(X59,V59,T59,R59,Z59)</f>
        <v>10.8</v>
      </c>
    </row>
    <row r="60" spans="1:29" ht="12" x14ac:dyDescent="0.2">
      <c r="B60" s="47" t="s">
        <v>144</v>
      </c>
      <c r="C60" s="151"/>
      <c r="D60" s="191">
        <v>0</v>
      </c>
      <c r="E60" s="34"/>
      <c r="F60" s="117">
        <v>0</v>
      </c>
      <c r="G60" s="281"/>
      <c r="H60" s="383">
        <v>2</v>
      </c>
      <c r="I60" s="254"/>
      <c r="J60" s="259">
        <v>0</v>
      </c>
      <c r="K60" s="281"/>
      <c r="L60" s="259">
        <v>2</v>
      </c>
      <c r="M60" s="281"/>
      <c r="N60" s="383">
        <v>2</v>
      </c>
      <c r="O60" s="254"/>
      <c r="P60" s="383">
        <v>0</v>
      </c>
      <c r="Q60" s="254"/>
      <c r="R60" s="383">
        <v>0</v>
      </c>
      <c r="S60" s="254"/>
      <c r="T60" s="383">
        <v>2</v>
      </c>
      <c r="U60" s="254"/>
      <c r="V60" s="383">
        <v>0</v>
      </c>
      <c r="W60" s="254"/>
      <c r="X60" s="383">
        <v>1</v>
      </c>
      <c r="Y60" s="254"/>
      <c r="Z60" s="383">
        <v>0</v>
      </c>
      <c r="AA60" s="583"/>
      <c r="AC60" s="601">
        <f t="shared" si="7"/>
        <v>0.6</v>
      </c>
    </row>
    <row r="61" spans="1:29" ht="12" x14ac:dyDescent="0.2">
      <c r="B61" s="46" t="s">
        <v>46</v>
      </c>
      <c r="C61" s="151"/>
      <c r="D61" s="153"/>
      <c r="E61" s="34"/>
      <c r="F61" s="53"/>
      <c r="G61" s="281"/>
      <c r="H61" s="363"/>
      <c r="I61" s="254"/>
      <c r="J61" s="121"/>
      <c r="K61" s="281"/>
      <c r="L61" s="121"/>
      <c r="M61" s="281"/>
      <c r="N61" s="363"/>
      <c r="O61" s="254"/>
      <c r="P61" s="363"/>
      <c r="Q61" s="254"/>
      <c r="R61" s="363"/>
      <c r="S61" s="254"/>
      <c r="T61" s="363"/>
      <c r="U61" s="254"/>
      <c r="V61" s="363"/>
      <c r="W61" s="254"/>
      <c r="X61" s="363"/>
      <c r="Y61" s="254"/>
      <c r="Z61" s="363"/>
      <c r="AA61" s="583"/>
      <c r="AC61" s="601"/>
    </row>
    <row r="62" spans="1:29" ht="12" x14ac:dyDescent="0.2">
      <c r="B62" s="47" t="s">
        <v>45</v>
      </c>
      <c r="C62" s="151"/>
      <c r="D62" s="153">
        <v>0</v>
      </c>
      <c r="E62" s="34"/>
      <c r="F62" s="53">
        <v>0</v>
      </c>
      <c r="G62" s="281"/>
      <c r="H62" s="363">
        <v>0</v>
      </c>
      <c r="I62" s="254"/>
      <c r="J62" s="121">
        <v>0</v>
      </c>
      <c r="K62" s="281"/>
      <c r="L62" s="121">
        <v>0</v>
      </c>
      <c r="M62" s="281"/>
      <c r="N62" s="363">
        <v>0</v>
      </c>
      <c r="O62" s="254"/>
      <c r="P62" s="363">
        <v>0</v>
      </c>
      <c r="Q62" s="254"/>
      <c r="R62" s="363">
        <v>0</v>
      </c>
      <c r="S62" s="254"/>
      <c r="T62" s="363">
        <v>0</v>
      </c>
      <c r="U62" s="254"/>
      <c r="V62" s="363">
        <v>0</v>
      </c>
      <c r="W62" s="254"/>
      <c r="X62" s="363">
        <v>0</v>
      </c>
      <c r="Y62" s="254"/>
      <c r="Z62" s="363">
        <v>0</v>
      </c>
      <c r="AA62" s="583"/>
      <c r="AC62" s="601">
        <f t="shared" ref="AC62:AC64" si="8">AVERAGE(X62,V62,T62,R62,Z62)</f>
        <v>0</v>
      </c>
    </row>
    <row r="63" spans="1:29" ht="12" x14ac:dyDescent="0.2">
      <c r="B63" s="615" t="s">
        <v>144</v>
      </c>
      <c r="C63" s="151"/>
      <c r="D63" s="153">
        <v>0</v>
      </c>
      <c r="E63" s="34"/>
      <c r="F63" s="53">
        <v>0</v>
      </c>
      <c r="G63" s="281"/>
      <c r="H63" s="363">
        <v>0</v>
      </c>
      <c r="I63" s="254"/>
      <c r="J63" s="121">
        <v>0</v>
      </c>
      <c r="K63" s="281"/>
      <c r="L63" s="121">
        <v>0</v>
      </c>
      <c r="M63" s="281"/>
      <c r="N63" s="363">
        <v>0</v>
      </c>
      <c r="O63" s="254"/>
      <c r="P63" s="363">
        <v>0</v>
      </c>
      <c r="Q63" s="254"/>
      <c r="R63" s="363">
        <v>0</v>
      </c>
      <c r="S63" s="254"/>
      <c r="T63" s="363">
        <v>0</v>
      </c>
      <c r="U63" s="254"/>
      <c r="V63" s="363">
        <v>0</v>
      </c>
      <c r="W63" s="254"/>
      <c r="X63" s="363">
        <v>0</v>
      </c>
      <c r="Y63" s="254"/>
      <c r="Z63" s="363">
        <v>0</v>
      </c>
      <c r="AA63" s="583"/>
      <c r="AC63" s="601">
        <f t="shared" si="8"/>
        <v>0</v>
      </c>
    </row>
    <row r="64" spans="1:29" thickBot="1" x14ac:dyDescent="0.25">
      <c r="B64" s="50" t="s">
        <v>12</v>
      </c>
      <c r="C64" s="192"/>
      <c r="D64" s="155">
        <f>SUM(D59:D63)</f>
        <v>11</v>
      </c>
      <c r="E64" s="99"/>
      <c r="F64" s="98">
        <f>SUM(F59:F63)</f>
        <v>12</v>
      </c>
      <c r="G64" s="309"/>
      <c r="H64" s="384">
        <v>12</v>
      </c>
      <c r="I64" s="378"/>
      <c r="J64" s="434">
        <f>SUM(J59:J63)</f>
        <v>10</v>
      </c>
      <c r="K64" s="309"/>
      <c r="L64" s="434">
        <f>SUM(L59:L63)</f>
        <v>13</v>
      </c>
      <c r="M64" s="309"/>
      <c r="N64" s="384">
        <f>SUM(N59:N63)</f>
        <v>14</v>
      </c>
      <c r="O64" s="378"/>
      <c r="P64" s="384">
        <f>SUM(P59:P63)</f>
        <v>12</v>
      </c>
      <c r="Q64" s="378"/>
      <c r="R64" s="384">
        <f>SUM(R59:R63)</f>
        <v>10</v>
      </c>
      <c r="S64" s="378"/>
      <c r="T64" s="384">
        <f>SUM(T59:T63)</f>
        <v>12</v>
      </c>
      <c r="U64" s="378"/>
      <c r="V64" s="384">
        <f>SUM(V59:V63)</f>
        <v>12</v>
      </c>
      <c r="W64" s="378"/>
      <c r="X64" s="384">
        <f>SUM(X59:X63)</f>
        <v>12</v>
      </c>
      <c r="Y64" s="378"/>
      <c r="Z64" s="384">
        <f>SUM(Z59:Z63)</f>
        <v>11</v>
      </c>
      <c r="AB64" s="604"/>
      <c r="AC64" s="668">
        <f t="shared" si="8"/>
        <v>11.4</v>
      </c>
    </row>
    <row r="65" spans="2:29" thickTop="1" x14ac:dyDescent="0.2">
      <c r="B65" s="627" t="s">
        <v>92</v>
      </c>
      <c r="C65" s="517"/>
      <c r="D65" s="194"/>
      <c r="E65" s="147"/>
      <c r="F65" s="190"/>
      <c r="G65" s="310" t="s">
        <v>89</v>
      </c>
      <c r="H65" s="385" t="s">
        <v>90</v>
      </c>
      <c r="I65" s="310" t="s">
        <v>89</v>
      </c>
      <c r="J65" s="385" t="s">
        <v>90</v>
      </c>
      <c r="K65" s="310" t="s">
        <v>89</v>
      </c>
      <c r="L65" s="385" t="s">
        <v>90</v>
      </c>
      <c r="M65" s="310" t="s">
        <v>89</v>
      </c>
      <c r="N65" s="385" t="s">
        <v>90</v>
      </c>
      <c r="O65" s="310" t="s">
        <v>89</v>
      </c>
      <c r="P65" s="385" t="s">
        <v>90</v>
      </c>
      <c r="Q65" s="310" t="s">
        <v>89</v>
      </c>
      <c r="R65" s="385" t="s">
        <v>90</v>
      </c>
      <c r="S65" s="310" t="s">
        <v>89</v>
      </c>
      <c r="T65" s="385" t="s">
        <v>90</v>
      </c>
      <c r="U65" s="310" t="s">
        <v>89</v>
      </c>
      <c r="V65" s="385" t="s">
        <v>90</v>
      </c>
      <c r="W65" s="310" t="s">
        <v>89</v>
      </c>
      <c r="X65" s="385" t="s">
        <v>90</v>
      </c>
      <c r="Y65" s="310" t="s">
        <v>89</v>
      </c>
      <c r="Z65" s="385" t="s">
        <v>90</v>
      </c>
      <c r="AB65" s="737" t="s">
        <v>89</v>
      </c>
      <c r="AC65" s="694" t="s">
        <v>90</v>
      </c>
    </row>
    <row r="66" spans="2:29" ht="12" x14ac:dyDescent="0.2">
      <c r="B66" s="47" t="s">
        <v>73</v>
      </c>
      <c r="C66" s="319">
        <v>9</v>
      </c>
      <c r="D66" s="196">
        <f>C66/D$64</f>
        <v>0.81818181818181823</v>
      </c>
      <c r="E66" s="148">
        <v>10</v>
      </c>
      <c r="F66" s="202">
        <f t="shared" ref="F66:H73" si="9">E66/F$64</f>
        <v>0.83333333333333337</v>
      </c>
      <c r="G66" s="195">
        <v>7</v>
      </c>
      <c r="H66" s="386">
        <f t="shared" si="9"/>
        <v>0.58333333333333337</v>
      </c>
      <c r="I66" s="148">
        <v>7</v>
      </c>
      <c r="J66" s="202">
        <f t="shared" ref="J66:L73" si="10">I66/J$64</f>
        <v>0.7</v>
      </c>
      <c r="K66" s="195">
        <v>8</v>
      </c>
      <c r="L66" s="202">
        <f t="shared" si="10"/>
        <v>0.61538461538461542</v>
      </c>
      <c r="M66" s="195">
        <f>7+2</f>
        <v>9</v>
      </c>
      <c r="N66" s="386">
        <f t="shared" ref="N66:R73" si="11">M66/N$64</f>
        <v>0.6428571428571429</v>
      </c>
      <c r="O66" s="148">
        <v>7</v>
      </c>
      <c r="P66" s="386">
        <f t="shared" si="11"/>
        <v>0.58333333333333337</v>
      </c>
      <c r="Q66" s="148">
        <v>6</v>
      </c>
      <c r="R66" s="386">
        <f t="shared" si="11"/>
        <v>0.6</v>
      </c>
      <c r="S66" s="148">
        <f>6+1</f>
        <v>7</v>
      </c>
      <c r="T66" s="386">
        <f t="shared" ref="T66:T73" si="12">S66/T$64</f>
        <v>0.58333333333333337</v>
      </c>
      <c r="U66" s="148">
        <v>7</v>
      </c>
      <c r="V66" s="386">
        <f t="shared" ref="V66:V73" si="13">U66/V$64</f>
        <v>0.58333333333333337</v>
      </c>
      <c r="W66" s="148">
        <v>7</v>
      </c>
      <c r="X66" s="386">
        <f t="shared" ref="X66:X73" si="14">W66/X$64</f>
        <v>0.58333333333333337</v>
      </c>
      <c r="Y66" s="148">
        <v>5</v>
      </c>
      <c r="Z66" s="386">
        <f t="shared" ref="Z66:Z73" si="15">Y66/Z$64</f>
        <v>0.45454545454545453</v>
      </c>
      <c r="AB66" s="666">
        <f t="shared" ref="AB66:AB73" si="16">AVERAGE(W66,U66,S66,Q66,Y66)</f>
        <v>6.4</v>
      </c>
      <c r="AC66" s="692">
        <f t="shared" ref="AC66:AC73" si="17">AVERAGE(X66,V66,T66,R66,Z66)</f>
        <v>0.56090909090909091</v>
      </c>
    </row>
    <row r="67" spans="2:29" ht="12" x14ac:dyDescent="0.2">
      <c r="B67" s="886" t="s">
        <v>74</v>
      </c>
      <c r="C67" s="319">
        <v>0</v>
      </c>
      <c r="D67" s="196">
        <f t="shared" ref="D67:D85" si="18">C67/$D$64</f>
        <v>0</v>
      </c>
      <c r="E67" s="148">
        <v>0</v>
      </c>
      <c r="F67" s="202">
        <f t="shared" si="9"/>
        <v>0</v>
      </c>
      <c r="G67" s="195">
        <v>0</v>
      </c>
      <c r="H67" s="386">
        <f t="shared" si="9"/>
        <v>0</v>
      </c>
      <c r="I67" s="148">
        <v>0</v>
      </c>
      <c r="J67" s="202">
        <f t="shared" si="10"/>
        <v>0</v>
      </c>
      <c r="K67" s="195">
        <v>1</v>
      </c>
      <c r="L67" s="202">
        <f t="shared" si="10"/>
        <v>7.6923076923076927E-2</v>
      </c>
      <c r="M67" s="195">
        <v>1</v>
      </c>
      <c r="N67" s="386">
        <f t="shared" si="11"/>
        <v>7.1428571428571425E-2</v>
      </c>
      <c r="O67" s="148">
        <v>1</v>
      </c>
      <c r="P67" s="386">
        <f t="shared" si="11"/>
        <v>8.3333333333333329E-2</v>
      </c>
      <c r="Q67" s="148">
        <v>1</v>
      </c>
      <c r="R67" s="386">
        <f t="shared" si="11"/>
        <v>0.1</v>
      </c>
      <c r="S67" s="148">
        <f>1+1</f>
        <v>2</v>
      </c>
      <c r="T67" s="386">
        <f t="shared" si="12"/>
        <v>0.16666666666666666</v>
      </c>
      <c r="U67" s="148">
        <v>1</v>
      </c>
      <c r="V67" s="386">
        <f t="shared" si="13"/>
        <v>8.3333333333333329E-2</v>
      </c>
      <c r="W67" s="148">
        <v>1</v>
      </c>
      <c r="X67" s="386">
        <f t="shared" si="14"/>
        <v>8.3333333333333329E-2</v>
      </c>
      <c r="Y67" s="148">
        <v>1</v>
      </c>
      <c r="Z67" s="386">
        <f t="shared" si="15"/>
        <v>9.0909090909090912E-2</v>
      </c>
      <c r="AB67" s="666">
        <f t="shared" si="16"/>
        <v>1.2</v>
      </c>
      <c r="AC67" s="692">
        <f t="shared" si="17"/>
        <v>0.10484848484848486</v>
      </c>
    </row>
    <row r="68" spans="2:29" ht="12" x14ac:dyDescent="0.2">
      <c r="B68" s="886" t="s">
        <v>75</v>
      </c>
      <c r="C68" s="319">
        <v>0</v>
      </c>
      <c r="D68" s="196">
        <f t="shared" si="18"/>
        <v>0</v>
      </c>
      <c r="E68" s="148">
        <v>0</v>
      </c>
      <c r="F68" s="202">
        <f t="shared" si="9"/>
        <v>0</v>
      </c>
      <c r="G68" s="195">
        <v>1</v>
      </c>
      <c r="H68" s="386">
        <f t="shared" si="9"/>
        <v>8.3333333333333329E-2</v>
      </c>
      <c r="I68" s="148">
        <v>0</v>
      </c>
      <c r="J68" s="202">
        <f t="shared" si="10"/>
        <v>0</v>
      </c>
      <c r="K68" s="195">
        <v>0</v>
      </c>
      <c r="L68" s="202">
        <f t="shared" si="10"/>
        <v>0</v>
      </c>
      <c r="M68" s="195">
        <v>0</v>
      </c>
      <c r="N68" s="386">
        <f t="shared" si="11"/>
        <v>0</v>
      </c>
      <c r="O68" s="148">
        <v>0</v>
      </c>
      <c r="P68" s="386">
        <f t="shared" si="11"/>
        <v>0</v>
      </c>
      <c r="Q68" s="148">
        <v>0</v>
      </c>
      <c r="R68" s="386">
        <f t="shared" si="11"/>
        <v>0</v>
      </c>
      <c r="S68" s="148">
        <f>0</f>
        <v>0</v>
      </c>
      <c r="T68" s="386">
        <f t="shared" si="12"/>
        <v>0</v>
      </c>
      <c r="U68" s="148">
        <v>0</v>
      </c>
      <c r="V68" s="386">
        <f t="shared" si="13"/>
        <v>0</v>
      </c>
      <c r="W68" s="148">
        <v>0</v>
      </c>
      <c r="X68" s="386">
        <f t="shared" si="14"/>
        <v>0</v>
      </c>
      <c r="Y68" s="148">
        <v>0</v>
      </c>
      <c r="Z68" s="386">
        <f t="shared" si="15"/>
        <v>0</v>
      </c>
      <c r="AA68" s="583"/>
      <c r="AB68" s="666">
        <f t="shared" si="16"/>
        <v>0</v>
      </c>
      <c r="AC68" s="692">
        <f t="shared" si="17"/>
        <v>0</v>
      </c>
    </row>
    <row r="69" spans="2:29" ht="12" x14ac:dyDescent="0.2">
      <c r="B69" s="886" t="s">
        <v>76</v>
      </c>
      <c r="C69" s="319">
        <v>0</v>
      </c>
      <c r="D69" s="196">
        <f t="shared" si="18"/>
        <v>0</v>
      </c>
      <c r="E69" s="148">
        <v>0</v>
      </c>
      <c r="F69" s="202">
        <f t="shared" si="9"/>
        <v>0</v>
      </c>
      <c r="G69" s="195">
        <v>0</v>
      </c>
      <c r="H69" s="386">
        <f t="shared" si="9"/>
        <v>0</v>
      </c>
      <c r="I69" s="148">
        <v>0</v>
      </c>
      <c r="J69" s="202">
        <f t="shared" si="10"/>
        <v>0</v>
      </c>
      <c r="K69" s="195">
        <v>0</v>
      </c>
      <c r="L69" s="202">
        <f t="shared" si="10"/>
        <v>0</v>
      </c>
      <c r="M69" s="195">
        <v>0</v>
      </c>
      <c r="N69" s="386">
        <f t="shared" si="11"/>
        <v>0</v>
      </c>
      <c r="O69" s="148">
        <v>0</v>
      </c>
      <c r="P69" s="386">
        <f t="shared" si="11"/>
        <v>0</v>
      </c>
      <c r="Q69" s="148">
        <v>0</v>
      </c>
      <c r="R69" s="386">
        <f t="shared" si="11"/>
        <v>0</v>
      </c>
      <c r="S69" s="148">
        <f>0</f>
        <v>0</v>
      </c>
      <c r="T69" s="386">
        <f t="shared" si="12"/>
        <v>0</v>
      </c>
      <c r="U69" s="148">
        <v>0</v>
      </c>
      <c r="V69" s="386">
        <f t="shared" si="13"/>
        <v>0</v>
      </c>
      <c r="W69" s="148">
        <v>0</v>
      </c>
      <c r="X69" s="386">
        <f t="shared" si="14"/>
        <v>0</v>
      </c>
      <c r="Y69" s="148">
        <v>0</v>
      </c>
      <c r="Z69" s="386">
        <f t="shared" si="15"/>
        <v>0</v>
      </c>
      <c r="AA69" s="583"/>
      <c r="AB69" s="666">
        <f t="shared" si="16"/>
        <v>0</v>
      </c>
      <c r="AC69" s="692">
        <f t="shared" si="17"/>
        <v>0</v>
      </c>
    </row>
    <row r="70" spans="2:29" ht="12" x14ac:dyDescent="0.2">
      <c r="B70" s="886" t="s">
        <v>77</v>
      </c>
      <c r="C70" s="319">
        <v>1</v>
      </c>
      <c r="D70" s="196">
        <f t="shared" si="18"/>
        <v>9.0909090909090912E-2</v>
      </c>
      <c r="E70" s="148">
        <v>1</v>
      </c>
      <c r="F70" s="202">
        <f t="shared" si="9"/>
        <v>8.3333333333333329E-2</v>
      </c>
      <c r="G70" s="195">
        <v>1</v>
      </c>
      <c r="H70" s="386">
        <f t="shared" si="9"/>
        <v>8.3333333333333329E-2</v>
      </c>
      <c r="I70" s="148">
        <v>1</v>
      </c>
      <c r="J70" s="202">
        <f t="shared" si="10"/>
        <v>0.1</v>
      </c>
      <c r="K70" s="195">
        <v>2</v>
      </c>
      <c r="L70" s="202">
        <f t="shared" si="10"/>
        <v>0.15384615384615385</v>
      </c>
      <c r="M70" s="195">
        <v>4</v>
      </c>
      <c r="N70" s="386">
        <f t="shared" si="11"/>
        <v>0.2857142857142857</v>
      </c>
      <c r="O70" s="148">
        <v>4</v>
      </c>
      <c r="P70" s="386">
        <f t="shared" si="11"/>
        <v>0.33333333333333331</v>
      </c>
      <c r="Q70" s="148">
        <v>2</v>
      </c>
      <c r="R70" s="386">
        <f t="shared" si="11"/>
        <v>0.2</v>
      </c>
      <c r="S70" s="148">
        <f>3</f>
        <v>3</v>
      </c>
      <c r="T70" s="386">
        <f t="shared" si="12"/>
        <v>0.25</v>
      </c>
      <c r="U70" s="148">
        <v>3</v>
      </c>
      <c r="V70" s="386">
        <f t="shared" si="13"/>
        <v>0.25</v>
      </c>
      <c r="W70" s="148">
        <v>3</v>
      </c>
      <c r="X70" s="386">
        <f t="shared" si="14"/>
        <v>0.25</v>
      </c>
      <c r="Y70" s="148">
        <v>3</v>
      </c>
      <c r="Z70" s="386">
        <f t="shared" si="15"/>
        <v>0.27272727272727271</v>
      </c>
      <c r="AA70" s="583"/>
      <c r="AB70" s="666">
        <f t="shared" si="16"/>
        <v>2.8</v>
      </c>
      <c r="AC70" s="692">
        <f t="shared" si="17"/>
        <v>0.24454545454545454</v>
      </c>
    </row>
    <row r="71" spans="2:29" ht="12" x14ac:dyDescent="0.2">
      <c r="B71" s="886" t="s">
        <v>78</v>
      </c>
      <c r="C71" s="319">
        <v>1</v>
      </c>
      <c r="D71" s="196">
        <f t="shared" si="18"/>
        <v>9.0909090909090912E-2</v>
      </c>
      <c r="E71" s="148">
        <v>1</v>
      </c>
      <c r="F71" s="202">
        <f t="shared" si="9"/>
        <v>8.3333333333333329E-2</v>
      </c>
      <c r="G71" s="195">
        <v>3</v>
      </c>
      <c r="H71" s="386">
        <f t="shared" si="9"/>
        <v>0.25</v>
      </c>
      <c r="I71" s="148">
        <v>2</v>
      </c>
      <c r="J71" s="202">
        <f t="shared" si="10"/>
        <v>0.2</v>
      </c>
      <c r="K71" s="195">
        <v>2</v>
      </c>
      <c r="L71" s="202">
        <f t="shared" si="10"/>
        <v>0.15384615384615385</v>
      </c>
      <c r="M71" s="195">
        <v>0</v>
      </c>
      <c r="N71" s="386">
        <f t="shared" si="11"/>
        <v>0</v>
      </c>
      <c r="O71" s="148">
        <v>0</v>
      </c>
      <c r="P71" s="386">
        <f t="shared" si="11"/>
        <v>0</v>
      </c>
      <c r="Q71" s="148">
        <v>1</v>
      </c>
      <c r="R71" s="386">
        <f t="shared" si="11"/>
        <v>0.1</v>
      </c>
      <c r="S71" s="148">
        <f>0</f>
        <v>0</v>
      </c>
      <c r="T71" s="386">
        <f t="shared" si="12"/>
        <v>0</v>
      </c>
      <c r="U71" s="148">
        <v>1</v>
      </c>
      <c r="V71" s="386">
        <f t="shared" si="13"/>
        <v>8.3333333333333329E-2</v>
      </c>
      <c r="W71" s="148">
        <v>1</v>
      </c>
      <c r="X71" s="386">
        <f t="shared" si="14"/>
        <v>8.3333333333333329E-2</v>
      </c>
      <c r="Y71" s="148">
        <v>2</v>
      </c>
      <c r="Z71" s="386">
        <f t="shared" si="15"/>
        <v>0.18181818181818182</v>
      </c>
      <c r="AA71" s="583"/>
      <c r="AB71" s="666">
        <f t="shared" si="16"/>
        <v>1</v>
      </c>
      <c r="AC71" s="692">
        <f t="shared" si="17"/>
        <v>8.9696969696969692E-2</v>
      </c>
    </row>
    <row r="72" spans="2:29" ht="12" x14ac:dyDescent="0.2">
      <c r="B72" s="886" t="s">
        <v>172</v>
      </c>
      <c r="C72" s="518"/>
      <c r="D72" s="196"/>
      <c r="E72" s="146"/>
      <c r="F72" s="202"/>
      <c r="G72" s="974"/>
      <c r="H72" s="975"/>
      <c r="I72" s="976"/>
      <c r="J72" s="977"/>
      <c r="K72" s="974"/>
      <c r="L72" s="977"/>
      <c r="M72" s="974"/>
      <c r="N72" s="975"/>
      <c r="O72" s="976"/>
      <c r="P72" s="975"/>
      <c r="Q72" s="146">
        <v>0</v>
      </c>
      <c r="R72" s="386">
        <f t="shared" si="11"/>
        <v>0</v>
      </c>
      <c r="S72" s="146">
        <f>0</f>
        <v>0</v>
      </c>
      <c r="T72" s="386">
        <f t="shared" si="12"/>
        <v>0</v>
      </c>
      <c r="U72" s="146">
        <v>0</v>
      </c>
      <c r="V72" s="386">
        <f t="shared" si="13"/>
        <v>0</v>
      </c>
      <c r="W72" s="146">
        <v>0</v>
      </c>
      <c r="X72" s="386">
        <f t="shared" si="14"/>
        <v>0</v>
      </c>
      <c r="Y72" s="146">
        <v>0</v>
      </c>
      <c r="Z72" s="386">
        <f t="shared" si="15"/>
        <v>0</v>
      </c>
      <c r="AA72" s="583"/>
      <c r="AB72" s="666">
        <f t="shared" si="16"/>
        <v>0</v>
      </c>
      <c r="AC72" s="692">
        <f t="shared" si="17"/>
        <v>0</v>
      </c>
    </row>
    <row r="73" spans="2:29" ht="12.75" customHeight="1" x14ac:dyDescent="0.2">
      <c r="B73" s="886" t="s">
        <v>79</v>
      </c>
      <c r="C73" s="518">
        <v>0</v>
      </c>
      <c r="D73" s="196">
        <f t="shared" si="18"/>
        <v>0</v>
      </c>
      <c r="E73" s="146">
        <v>0</v>
      </c>
      <c r="F73" s="202">
        <f t="shared" si="9"/>
        <v>0</v>
      </c>
      <c r="G73" s="197">
        <v>0</v>
      </c>
      <c r="H73" s="386">
        <f t="shared" si="9"/>
        <v>0</v>
      </c>
      <c r="I73" s="146">
        <v>0</v>
      </c>
      <c r="J73" s="202">
        <f t="shared" si="10"/>
        <v>0</v>
      </c>
      <c r="K73" s="197">
        <v>0</v>
      </c>
      <c r="L73" s="202">
        <f t="shared" si="10"/>
        <v>0</v>
      </c>
      <c r="M73" s="197">
        <v>0</v>
      </c>
      <c r="N73" s="386">
        <f t="shared" si="11"/>
        <v>0</v>
      </c>
      <c r="O73" s="146">
        <v>0</v>
      </c>
      <c r="P73" s="386">
        <f t="shared" si="11"/>
        <v>0</v>
      </c>
      <c r="Q73" s="146">
        <v>0</v>
      </c>
      <c r="R73" s="386">
        <f t="shared" si="11"/>
        <v>0</v>
      </c>
      <c r="S73" s="146">
        <f>0</f>
        <v>0</v>
      </c>
      <c r="T73" s="386">
        <f t="shared" si="12"/>
        <v>0</v>
      </c>
      <c r="U73" s="146">
        <v>0</v>
      </c>
      <c r="V73" s="386">
        <f t="shared" si="13"/>
        <v>0</v>
      </c>
      <c r="W73" s="146">
        <v>0</v>
      </c>
      <c r="X73" s="386">
        <f t="shared" si="14"/>
        <v>0</v>
      </c>
      <c r="Y73" s="146">
        <v>0</v>
      </c>
      <c r="Z73" s="386">
        <f t="shared" si="15"/>
        <v>0</v>
      </c>
      <c r="AA73" s="583"/>
      <c r="AB73" s="666">
        <f t="shared" si="16"/>
        <v>0</v>
      </c>
      <c r="AC73" s="692">
        <f t="shared" si="17"/>
        <v>0</v>
      </c>
    </row>
    <row r="74" spans="2:29" ht="12" x14ac:dyDescent="0.2">
      <c r="B74" s="887" t="s">
        <v>93</v>
      </c>
      <c r="C74" s="519"/>
      <c r="D74" s="196"/>
      <c r="E74" s="206"/>
      <c r="F74" s="306"/>
      <c r="G74" s="311"/>
      <c r="H74" s="387"/>
      <c r="I74" s="206"/>
      <c r="J74" s="306"/>
      <c r="K74" s="311"/>
      <c r="L74" s="306"/>
      <c r="M74" s="311"/>
      <c r="N74" s="387"/>
      <c r="O74" s="206"/>
      <c r="P74" s="387"/>
      <c r="Q74" s="206"/>
      <c r="R74" s="387"/>
      <c r="S74" s="206"/>
      <c r="T74" s="387"/>
      <c r="U74" s="206"/>
      <c r="V74" s="387"/>
      <c r="W74" s="206"/>
      <c r="X74" s="387"/>
      <c r="Y74" s="206"/>
      <c r="Z74" s="387"/>
      <c r="AA74" s="583"/>
      <c r="AB74" s="666"/>
      <c r="AC74" s="692"/>
    </row>
    <row r="75" spans="2:29" ht="12" x14ac:dyDescent="0.2">
      <c r="B75" s="47" t="s">
        <v>80</v>
      </c>
      <c r="C75" s="340">
        <v>8</v>
      </c>
      <c r="D75" s="196">
        <f t="shared" si="18"/>
        <v>0.72727272727272729</v>
      </c>
      <c r="E75" s="117">
        <v>9</v>
      </c>
      <c r="F75" s="234">
        <f>E75/F$64</f>
        <v>0.75</v>
      </c>
      <c r="G75" s="209">
        <v>7</v>
      </c>
      <c r="H75" s="388">
        <f>G75/H$64</f>
        <v>0.58333333333333337</v>
      </c>
      <c r="I75" s="259">
        <v>7</v>
      </c>
      <c r="J75" s="234">
        <f>I75/J$64</f>
        <v>0.7</v>
      </c>
      <c r="K75" s="209">
        <v>8</v>
      </c>
      <c r="L75" s="234">
        <f>K75/L$64</f>
        <v>0.61538461538461542</v>
      </c>
      <c r="M75" s="209">
        <f>8+1</f>
        <v>9</v>
      </c>
      <c r="N75" s="388">
        <f>M75/N$64</f>
        <v>0.6428571428571429</v>
      </c>
      <c r="O75" s="259">
        <v>8</v>
      </c>
      <c r="P75" s="388">
        <f>O75/P$64</f>
        <v>0.66666666666666663</v>
      </c>
      <c r="Q75" s="259">
        <v>8</v>
      </c>
      <c r="R75" s="386">
        <f>Q75/R$64</f>
        <v>0.8</v>
      </c>
      <c r="S75" s="259">
        <f>7</f>
        <v>7</v>
      </c>
      <c r="T75" s="386">
        <f>S75/T$64</f>
        <v>0.58333333333333337</v>
      </c>
      <c r="U75" s="259">
        <v>8</v>
      </c>
      <c r="V75" s="386">
        <f>U75/V$64</f>
        <v>0.66666666666666663</v>
      </c>
      <c r="W75" s="259">
        <v>9</v>
      </c>
      <c r="X75" s="386">
        <f>W75/X$64</f>
        <v>0.75</v>
      </c>
      <c r="Y75" s="259">
        <v>7</v>
      </c>
      <c r="Z75" s="386">
        <f>Y75/Z$64</f>
        <v>0.63636363636363635</v>
      </c>
      <c r="AA75" s="583"/>
      <c r="AB75" s="666">
        <f t="shared" ref="AB75:AB76" si="19">AVERAGE(W75,U75,S75,Q75,Y75)</f>
        <v>7.8</v>
      </c>
      <c r="AC75" s="692">
        <f t="shared" ref="AC75:AC76" si="20">AVERAGE(X75,V75,T75,R75,Z75)</f>
        <v>0.68727272727272726</v>
      </c>
    </row>
    <row r="76" spans="2:29" ht="12" x14ac:dyDescent="0.2">
      <c r="B76" s="47" t="s">
        <v>81</v>
      </c>
      <c r="C76" s="340">
        <v>3</v>
      </c>
      <c r="D76" s="196">
        <f t="shared" si="18"/>
        <v>0.27272727272727271</v>
      </c>
      <c r="E76" s="204">
        <v>3</v>
      </c>
      <c r="F76" s="234">
        <f>E76/F$64</f>
        <v>0.25</v>
      </c>
      <c r="G76" s="340">
        <v>5</v>
      </c>
      <c r="H76" s="388">
        <f>G76/H$64</f>
        <v>0.41666666666666669</v>
      </c>
      <c r="I76" s="380">
        <v>3</v>
      </c>
      <c r="J76" s="234">
        <f>I76/J$64</f>
        <v>0.3</v>
      </c>
      <c r="K76" s="340">
        <v>5</v>
      </c>
      <c r="L76" s="234">
        <f>K76/L$64</f>
        <v>0.38461538461538464</v>
      </c>
      <c r="M76" s="340">
        <f>4+1</f>
        <v>5</v>
      </c>
      <c r="N76" s="388">
        <f>M76/N$64</f>
        <v>0.35714285714285715</v>
      </c>
      <c r="O76" s="380">
        <v>4</v>
      </c>
      <c r="P76" s="388">
        <f>O76/P$64</f>
        <v>0.33333333333333331</v>
      </c>
      <c r="Q76" s="380">
        <v>2</v>
      </c>
      <c r="R76" s="386">
        <f>Q76/R$64</f>
        <v>0.2</v>
      </c>
      <c r="S76" s="380">
        <f>3+2</f>
        <v>5</v>
      </c>
      <c r="T76" s="386">
        <f>S76/T$64</f>
        <v>0.41666666666666669</v>
      </c>
      <c r="U76" s="380">
        <v>4</v>
      </c>
      <c r="V76" s="386">
        <f>U76/V$64</f>
        <v>0.33333333333333331</v>
      </c>
      <c r="W76" s="380">
        <v>3</v>
      </c>
      <c r="X76" s="386">
        <f>W76/X$64</f>
        <v>0.25</v>
      </c>
      <c r="Y76" s="380">
        <v>4</v>
      </c>
      <c r="Z76" s="386">
        <f>Y76/Z$64</f>
        <v>0.36363636363636365</v>
      </c>
      <c r="AA76" s="583"/>
      <c r="AB76" s="666">
        <f t="shared" si="19"/>
        <v>3.6</v>
      </c>
      <c r="AC76" s="692">
        <f t="shared" si="20"/>
        <v>0.31272727272727269</v>
      </c>
    </row>
    <row r="77" spans="2:29" ht="12" x14ac:dyDescent="0.2">
      <c r="B77" s="887" t="s">
        <v>94</v>
      </c>
      <c r="C77" s="520"/>
      <c r="D77" s="196"/>
      <c r="E77" s="207"/>
      <c r="F77" s="234"/>
      <c r="G77" s="298"/>
      <c r="H77" s="388"/>
      <c r="I77" s="381"/>
      <c r="J77" s="234"/>
      <c r="K77" s="298"/>
      <c r="L77" s="234"/>
      <c r="M77" s="298"/>
      <c r="N77" s="388"/>
      <c r="O77" s="381"/>
      <c r="P77" s="388"/>
      <c r="Q77" s="381"/>
      <c r="R77" s="386"/>
      <c r="S77" s="381"/>
      <c r="T77" s="386"/>
      <c r="U77" s="381"/>
      <c r="V77" s="386"/>
      <c r="W77" s="381"/>
      <c r="X77" s="386"/>
      <c r="Y77" s="381"/>
      <c r="Z77" s="386"/>
      <c r="AA77" s="583"/>
      <c r="AB77" s="666"/>
      <c r="AC77" s="692"/>
    </row>
    <row r="78" spans="2:29" ht="12" x14ac:dyDescent="0.2">
      <c r="B78" s="47" t="s">
        <v>82</v>
      </c>
      <c r="C78" s="521">
        <v>3</v>
      </c>
      <c r="D78" s="196">
        <f t="shared" si="18"/>
        <v>0.27272727272727271</v>
      </c>
      <c r="E78" s="204">
        <v>3</v>
      </c>
      <c r="F78" s="234">
        <f>E78/F$64</f>
        <v>0.25</v>
      </c>
      <c r="G78" s="340">
        <v>3</v>
      </c>
      <c r="H78" s="388">
        <f>G78/H$64</f>
        <v>0.25</v>
      </c>
      <c r="I78" s="380">
        <v>3</v>
      </c>
      <c r="J78" s="234">
        <f>I78/J$64</f>
        <v>0.3</v>
      </c>
      <c r="K78" s="340">
        <v>4</v>
      </c>
      <c r="L78" s="234">
        <f>K78/L$64</f>
        <v>0.30769230769230771</v>
      </c>
      <c r="M78" s="340">
        <v>5</v>
      </c>
      <c r="N78" s="388">
        <f>M78/N$64</f>
        <v>0.35714285714285715</v>
      </c>
      <c r="O78" s="380">
        <v>5</v>
      </c>
      <c r="P78" s="388">
        <f>O78/P$64</f>
        <v>0.41666666666666669</v>
      </c>
      <c r="Q78" s="380">
        <v>5</v>
      </c>
      <c r="R78" s="386">
        <f>Q78/R$64</f>
        <v>0.5</v>
      </c>
      <c r="S78" s="380">
        <f>5</f>
        <v>5</v>
      </c>
      <c r="T78" s="386">
        <f>S78/T$64</f>
        <v>0.41666666666666669</v>
      </c>
      <c r="U78" s="380">
        <v>5</v>
      </c>
      <c r="V78" s="386">
        <f>U78/V$64</f>
        <v>0.41666666666666669</v>
      </c>
      <c r="W78" s="380">
        <v>6</v>
      </c>
      <c r="X78" s="386">
        <f>W78/X$64</f>
        <v>0.5</v>
      </c>
      <c r="Y78" s="380">
        <v>5</v>
      </c>
      <c r="Z78" s="386">
        <f>Y78/Z$64</f>
        <v>0.45454545454545453</v>
      </c>
      <c r="AA78" s="583"/>
      <c r="AB78" s="666">
        <f t="shared" ref="AB78:AB80" si="21">AVERAGE(W78,U78,S78,Q78,Y78)</f>
        <v>5.2</v>
      </c>
      <c r="AC78" s="692">
        <f t="shared" ref="AC78:AC80" si="22">AVERAGE(X78,V78,T78,R78,Z78)</f>
        <v>0.45757575757575764</v>
      </c>
    </row>
    <row r="79" spans="2:29" ht="12" x14ac:dyDescent="0.2">
      <c r="B79" s="47" t="s">
        <v>83</v>
      </c>
      <c r="C79" s="521">
        <v>4</v>
      </c>
      <c r="D79" s="196">
        <f t="shared" si="18"/>
        <v>0.36363636363636365</v>
      </c>
      <c r="E79" s="204">
        <v>5</v>
      </c>
      <c r="F79" s="234">
        <f>E79/F$64</f>
        <v>0.41666666666666669</v>
      </c>
      <c r="G79" s="340">
        <v>5</v>
      </c>
      <c r="H79" s="388">
        <f>G79/H$64</f>
        <v>0.41666666666666669</v>
      </c>
      <c r="I79" s="380">
        <v>3</v>
      </c>
      <c r="J79" s="234">
        <f>I79/J$64</f>
        <v>0.3</v>
      </c>
      <c r="K79" s="340">
        <v>4</v>
      </c>
      <c r="L79" s="234">
        <f>K79/L$64</f>
        <v>0.30769230769230771</v>
      </c>
      <c r="M79" s="340">
        <v>3</v>
      </c>
      <c r="N79" s="388">
        <f>M79/N$64</f>
        <v>0.21428571428571427</v>
      </c>
      <c r="O79" s="380">
        <v>3</v>
      </c>
      <c r="P79" s="388">
        <f>O79/P$64</f>
        <v>0.25</v>
      </c>
      <c r="Q79" s="380">
        <v>2</v>
      </c>
      <c r="R79" s="386">
        <f>Q79/R$64</f>
        <v>0.2</v>
      </c>
      <c r="S79" s="380">
        <f>2</f>
        <v>2</v>
      </c>
      <c r="T79" s="386">
        <f>S79/T$64</f>
        <v>0.16666666666666666</v>
      </c>
      <c r="U79" s="380">
        <v>3</v>
      </c>
      <c r="V79" s="386">
        <f>U79/V$64</f>
        <v>0.25</v>
      </c>
      <c r="W79" s="380">
        <v>2</v>
      </c>
      <c r="X79" s="386">
        <f>W79/X$64</f>
        <v>0.16666666666666666</v>
      </c>
      <c r="Y79" s="380">
        <v>2</v>
      </c>
      <c r="Z79" s="386">
        <f>Y79/Z$64</f>
        <v>0.18181818181818182</v>
      </c>
      <c r="AA79" s="583"/>
      <c r="AB79" s="666">
        <f t="shared" si="21"/>
        <v>2.2000000000000002</v>
      </c>
      <c r="AC79" s="692">
        <f t="shared" si="22"/>
        <v>0.19303030303030302</v>
      </c>
    </row>
    <row r="80" spans="2:29" ht="12" x14ac:dyDescent="0.2">
      <c r="B80" s="47" t="s">
        <v>84</v>
      </c>
      <c r="C80" s="521">
        <v>4</v>
      </c>
      <c r="D80" s="196">
        <f t="shared" si="18"/>
        <v>0.36363636363636365</v>
      </c>
      <c r="E80" s="204">
        <v>4</v>
      </c>
      <c r="F80" s="234">
        <f>E80/F$64</f>
        <v>0.33333333333333331</v>
      </c>
      <c r="G80" s="340">
        <v>4</v>
      </c>
      <c r="H80" s="388">
        <f>G80/H$64</f>
        <v>0.33333333333333331</v>
      </c>
      <c r="I80" s="380">
        <v>4</v>
      </c>
      <c r="J80" s="234">
        <f>I80/J$64</f>
        <v>0.4</v>
      </c>
      <c r="K80" s="340">
        <v>5</v>
      </c>
      <c r="L80" s="234">
        <f>K80/L$64</f>
        <v>0.38461538461538464</v>
      </c>
      <c r="M80" s="340">
        <f>4+2</f>
        <v>6</v>
      </c>
      <c r="N80" s="388">
        <f>M80/N$64</f>
        <v>0.42857142857142855</v>
      </c>
      <c r="O80" s="380">
        <v>4</v>
      </c>
      <c r="P80" s="388">
        <f>O80/P$64</f>
        <v>0.33333333333333331</v>
      </c>
      <c r="Q80" s="380">
        <v>3</v>
      </c>
      <c r="R80" s="386">
        <f>Q80/R$64</f>
        <v>0.3</v>
      </c>
      <c r="S80" s="380">
        <f>3+2</f>
        <v>5</v>
      </c>
      <c r="T80" s="386">
        <f>S80/T$64</f>
        <v>0.41666666666666669</v>
      </c>
      <c r="U80" s="380">
        <v>4</v>
      </c>
      <c r="V80" s="386">
        <f>U80/V$64</f>
        <v>0.33333333333333331</v>
      </c>
      <c r="W80" s="380">
        <v>4</v>
      </c>
      <c r="X80" s="386">
        <f>W80/X$64</f>
        <v>0.33333333333333331</v>
      </c>
      <c r="Y80" s="380">
        <v>4</v>
      </c>
      <c r="Z80" s="386">
        <f>Y80/Z$64</f>
        <v>0.36363636363636365</v>
      </c>
      <c r="AA80" s="583"/>
      <c r="AB80" s="666">
        <f t="shared" si="21"/>
        <v>4</v>
      </c>
      <c r="AC80" s="692">
        <f t="shared" si="22"/>
        <v>0.34939393939393942</v>
      </c>
    </row>
    <row r="81" spans="1:32" ht="12" x14ac:dyDescent="0.2">
      <c r="B81" s="887" t="s">
        <v>95</v>
      </c>
      <c r="C81" s="520"/>
      <c r="D81" s="196"/>
      <c r="E81" s="207"/>
      <c r="F81" s="234"/>
      <c r="G81" s="298"/>
      <c r="H81" s="388"/>
      <c r="I81" s="381"/>
      <c r="J81" s="234"/>
      <c r="K81" s="298"/>
      <c r="L81" s="234"/>
      <c r="M81" s="298"/>
      <c r="N81" s="388"/>
      <c r="O81" s="381"/>
      <c r="P81" s="388"/>
      <c r="Q81" s="381"/>
      <c r="R81" s="386"/>
      <c r="S81" s="381"/>
      <c r="T81" s="386"/>
      <c r="U81" s="381"/>
      <c r="V81" s="386"/>
      <c r="W81" s="381"/>
      <c r="X81" s="386"/>
      <c r="Y81" s="381"/>
      <c r="Z81" s="386"/>
      <c r="AA81" s="583"/>
      <c r="AB81" s="666"/>
      <c r="AC81" s="692"/>
    </row>
    <row r="82" spans="1:32" ht="12" x14ac:dyDescent="0.2">
      <c r="B82" s="47" t="s">
        <v>85</v>
      </c>
      <c r="C82" s="521">
        <v>9</v>
      </c>
      <c r="D82" s="196">
        <f t="shared" si="18"/>
        <v>0.81818181818181823</v>
      </c>
      <c r="E82" s="204">
        <v>11</v>
      </c>
      <c r="F82" s="234">
        <f>E82/F$64</f>
        <v>0.91666666666666663</v>
      </c>
      <c r="G82" s="340">
        <v>9</v>
      </c>
      <c r="H82" s="388">
        <f>G82/H$64</f>
        <v>0.75</v>
      </c>
      <c r="I82" s="380">
        <v>7</v>
      </c>
      <c r="J82" s="234">
        <f>I82/J$64</f>
        <v>0.7</v>
      </c>
      <c r="K82" s="340">
        <v>10</v>
      </c>
      <c r="L82" s="234">
        <f>K82/L$64</f>
        <v>0.76923076923076927</v>
      </c>
      <c r="M82" s="340">
        <f>10+1</f>
        <v>11</v>
      </c>
      <c r="N82" s="388">
        <f>M82/N$64</f>
        <v>0.7857142857142857</v>
      </c>
      <c r="O82" s="380">
        <v>10</v>
      </c>
      <c r="P82" s="388">
        <f>O82/P$64</f>
        <v>0.83333333333333337</v>
      </c>
      <c r="Q82" s="380">
        <v>8</v>
      </c>
      <c r="R82" s="386">
        <f>Q82/R$64</f>
        <v>0.8</v>
      </c>
      <c r="S82" s="380">
        <f>8</f>
        <v>8</v>
      </c>
      <c r="T82" s="386">
        <f>S82/T$64</f>
        <v>0.66666666666666663</v>
      </c>
      <c r="U82" s="380">
        <v>10</v>
      </c>
      <c r="V82" s="386">
        <f>U82/V$64</f>
        <v>0.83333333333333337</v>
      </c>
      <c r="W82" s="380">
        <v>10</v>
      </c>
      <c r="X82" s="386">
        <f>W82/X$64</f>
        <v>0.83333333333333337</v>
      </c>
      <c r="Y82" s="380">
        <v>9</v>
      </c>
      <c r="Z82" s="386">
        <f>Y82/Z$64</f>
        <v>0.81818181818181823</v>
      </c>
      <c r="AA82" s="583"/>
      <c r="AB82" s="666">
        <f t="shared" ref="AB82:AB85" si="23">AVERAGE(W82,U82,S82,Q82,Y82)</f>
        <v>9</v>
      </c>
      <c r="AC82" s="692">
        <f t="shared" ref="AC82:AC85" si="24">AVERAGE(X82,V82,T82,R82,Z82)</f>
        <v>0.7903030303030304</v>
      </c>
    </row>
    <row r="83" spans="1:32" ht="12" x14ac:dyDescent="0.2">
      <c r="B83" s="47" t="s">
        <v>86</v>
      </c>
      <c r="C83" s="521">
        <v>2</v>
      </c>
      <c r="D83" s="196">
        <f t="shared" si="18"/>
        <v>0.18181818181818182</v>
      </c>
      <c r="E83" s="204">
        <v>1</v>
      </c>
      <c r="F83" s="234">
        <f>E83/F$64</f>
        <v>8.3333333333333329E-2</v>
      </c>
      <c r="G83" s="340">
        <v>3</v>
      </c>
      <c r="H83" s="388">
        <f>G83/H$64</f>
        <v>0.25</v>
      </c>
      <c r="I83" s="380">
        <v>3</v>
      </c>
      <c r="J83" s="234">
        <f>I83/J$64</f>
        <v>0.3</v>
      </c>
      <c r="K83" s="340">
        <v>2</v>
      </c>
      <c r="L83" s="234">
        <f>K83/L$64</f>
        <v>0.15384615384615385</v>
      </c>
      <c r="M83" s="340">
        <f>2+1</f>
        <v>3</v>
      </c>
      <c r="N83" s="388">
        <f>M83/N$64</f>
        <v>0.21428571428571427</v>
      </c>
      <c r="O83" s="380">
        <v>2</v>
      </c>
      <c r="P83" s="388">
        <f>O83/P$64</f>
        <v>0.16666666666666666</v>
      </c>
      <c r="Q83" s="380">
        <v>2</v>
      </c>
      <c r="R83" s="386">
        <f>Q83/R$64</f>
        <v>0.2</v>
      </c>
      <c r="S83" s="380">
        <f>2+2</f>
        <v>4</v>
      </c>
      <c r="T83" s="386">
        <f>S83/T$64</f>
        <v>0.33333333333333331</v>
      </c>
      <c r="U83" s="380">
        <v>2</v>
      </c>
      <c r="V83" s="386">
        <f>U83/V$64</f>
        <v>0.16666666666666666</v>
      </c>
      <c r="W83" s="380">
        <v>2</v>
      </c>
      <c r="X83" s="386">
        <f>W83/X$64</f>
        <v>0.16666666666666666</v>
      </c>
      <c r="Y83" s="380">
        <v>2</v>
      </c>
      <c r="Z83" s="386">
        <f>Y83/Z$64</f>
        <v>0.18181818181818182</v>
      </c>
      <c r="AA83" s="583"/>
      <c r="AB83" s="666">
        <f t="shared" si="23"/>
        <v>2.4</v>
      </c>
      <c r="AC83" s="692">
        <f t="shared" si="24"/>
        <v>0.20969696969696972</v>
      </c>
    </row>
    <row r="84" spans="1:32" ht="12" x14ac:dyDescent="0.2">
      <c r="B84" s="47" t="s">
        <v>87</v>
      </c>
      <c r="C84" s="521">
        <v>0</v>
      </c>
      <c r="D84" s="196">
        <f t="shared" si="18"/>
        <v>0</v>
      </c>
      <c r="E84" s="204">
        <v>0</v>
      </c>
      <c r="F84" s="234">
        <f>E84/F$64</f>
        <v>0</v>
      </c>
      <c r="G84" s="340">
        <v>0</v>
      </c>
      <c r="H84" s="388">
        <f>G84/H$64</f>
        <v>0</v>
      </c>
      <c r="I84" s="380">
        <v>0</v>
      </c>
      <c r="J84" s="234">
        <f>I84/J$64</f>
        <v>0</v>
      </c>
      <c r="K84" s="340">
        <v>1</v>
      </c>
      <c r="L84" s="234">
        <f>K84/L$64</f>
        <v>7.6923076923076927E-2</v>
      </c>
      <c r="M84" s="340">
        <v>0</v>
      </c>
      <c r="N84" s="388">
        <f>M84/N$64</f>
        <v>0</v>
      </c>
      <c r="O84" s="380">
        <v>0</v>
      </c>
      <c r="P84" s="388">
        <f>O84/P$64</f>
        <v>0</v>
      </c>
      <c r="Q84" s="380">
        <v>0</v>
      </c>
      <c r="R84" s="386">
        <f>Q84/R$64</f>
        <v>0</v>
      </c>
      <c r="S84" s="380">
        <f>0</f>
        <v>0</v>
      </c>
      <c r="T84" s="386">
        <f>S84/T$64</f>
        <v>0</v>
      </c>
      <c r="U84" s="380">
        <v>0</v>
      </c>
      <c r="V84" s="386">
        <f>U84/V$64</f>
        <v>0</v>
      </c>
      <c r="W84" s="380">
        <v>0</v>
      </c>
      <c r="X84" s="386">
        <f>W84/X$64</f>
        <v>0</v>
      </c>
      <c r="Y84" s="380">
        <v>0</v>
      </c>
      <c r="Z84" s="386">
        <f>Y84/Z$64</f>
        <v>0</v>
      </c>
      <c r="AA84" s="583"/>
      <c r="AB84" s="666">
        <f t="shared" si="23"/>
        <v>0</v>
      </c>
      <c r="AC84" s="692">
        <f t="shared" si="24"/>
        <v>0</v>
      </c>
    </row>
    <row r="85" spans="1:32" thickBot="1" x14ac:dyDescent="0.25">
      <c r="B85" s="616" t="s">
        <v>88</v>
      </c>
      <c r="C85" s="522">
        <v>0</v>
      </c>
      <c r="D85" s="201">
        <f t="shared" si="18"/>
        <v>0</v>
      </c>
      <c r="E85" s="208">
        <v>0</v>
      </c>
      <c r="F85" s="295">
        <f>E85/F$64</f>
        <v>0</v>
      </c>
      <c r="G85" s="341">
        <v>0</v>
      </c>
      <c r="H85" s="389">
        <f>G85/H$64</f>
        <v>0</v>
      </c>
      <c r="I85" s="382">
        <v>0</v>
      </c>
      <c r="J85" s="295">
        <f>I85/J$64</f>
        <v>0</v>
      </c>
      <c r="K85" s="341">
        <v>0</v>
      </c>
      <c r="L85" s="295">
        <f>K85/L$64</f>
        <v>0</v>
      </c>
      <c r="M85" s="341">
        <v>0</v>
      </c>
      <c r="N85" s="389">
        <f>M85/N$64</f>
        <v>0</v>
      </c>
      <c r="O85" s="382">
        <v>0</v>
      </c>
      <c r="P85" s="389">
        <f>O85/P$64</f>
        <v>0</v>
      </c>
      <c r="Q85" s="382">
        <v>0</v>
      </c>
      <c r="R85" s="409">
        <f>Q85/R$64</f>
        <v>0</v>
      </c>
      <c r="S85" s="382">
        <f>0</f>
        <v>0</v>
      </c>
      <c r="T85" s="409">
        <f>S85/T$64</f>
        <v>0</v>
      </c>
      <c r="U85" s="382">
        <v>0</v>
      </c>
      <c r="V85" s="409">
        <f>U85/V$64</f>
        <v>0</v>
      </c>
      <c r="W85" s="382">
        <v>0</v>
      </c>
      <c r="X85" s="409">
        <f>W85/X$64</f>
        <v>0</v>
      </c>
      <c r="Y85" s="382">
        <v>0</v>
      </c>
      <c r="Z85" s="409">
        <f>Y85/Z$64</f>
        <v>0</v>
      </c>
      <c r="AA85" s="583"/>
      <c r="AB85" s="667">
        <f t="shared" si="23"/>
        <v>0</v>
      </c>
      <c r="AC85" s="693">
        <f t="shared" si="24"/>
        <v>0</v>
      </c>
    </row>
    <row r="86" spans="1:32" thickTop="1" x14ac:dyDescent="0.2">
      <c r="A86" s="583"/>
      <c r="B86" s="613" t="s">
        <v>115</v>
      </c>
      <c r="C86" s="119"/>
      <c r="D86" s="619"/>
      <c r="E86" s="582"/>
      <c r="F86" s="617"/>
      <c r="G86" s="582"/>
      <c r="H86" s="617"/>
      <c r="I86" s="582"/>
      <c r="J86" s="617"/>
      <c r="K86" s="582"/>
      <c r="L86" s="617"/>
      <c r="M86" s="611"/>
      <c r="N86" s="825"/>
      <c r="O86" s="611"/>
      <c r="P86" s="825"/>
      <c r="Q86" s="611"/>
      <c r="R86" s="981"/>
      <c r="S86" s="611"/>
      <c r="T86" s="981"/>
      <c r="U86" s="611"/>
      <c r="V86" s="981"/>
      <c r="W86" s="611"/>
      <c r="X86" s="981"/>
      <c r="Y86" s="611">
        <v>0</v>
      </c>
      <c r="Z86" s="981">
        <f>Y86/Z$64</f>
        <v>0</v>
      </c>
      <c r="AA86" s="583"/>
      <c r="AC86" s="583"/>
    </row>
    <row r="87" spans="1:32" ht="12" x14ac:dyDescent="0.2">
      <c r="A87" s="583"/>
      <c r="B87" s="614"/>
      <c r="C87" s="120" t="s">
        <v>89</v>
      </c>
      <c r="D87" s="618" t="s">
        <v>16</v>
      </c>
      <c r="E87" s="120" t="s">
        <v>89</v>
      </c>
      <c r="F87" s="618" t="s">
        <v>16</v>
      </c>
      <c r="G87" s="120" t="s">
        <v>89</v>
      </c>
      <c r="H87" s="618" t="s">
        <v>16</v>
      </c>
      <c r="I87" s="120" t="s">
        <v>89</v>
      </c>
      <c r="J87" s="618" t="s">
        <v>16</v>
      </c>
      <c r="K87" s="120" t="s">
        <v>89</v>
      </c>
      <c r="L87" s="618" t="s">
        <v>16</v>
      </c>
      <c r="M87" s="120" t="s">
        <v>89</v>
      </c>
      <c r="N87" s="618" t="s">
        <v>16</v>
      </c>
      <c r="O87" s="120" t="s">
        <v>89</v>
      </c>
      <c r="P87" s="618" t="s">
        <v>16</v>
      </c>
      <c r="Q87" s="272" t="s">
        <v>89</v>
      </c>
      <c r="R87" s="618" t="s">
        <v>16</v>
      </c>
      <c r="S87" s="272" t="s">
        <v>89</v>
      </c>
      <c r="T87" s="618" t="s">
        <v>16</v>
      </c>
      <c r="U87" s="272" t="s">
        <v>89</v>
      </c>
      <c r="V87" s="618" t="s">
        <v>16</v>
      </c>
      <c r="W87" s="272" t="s">
        <v>89</v>
      </c>
      <c r="X87" s="618" t="s">
        <v>16</v>
      </c>
      <c r="Y87" s="272" t="s">
        <v>89</v>
      </c>
      <c r="Z87" s="618" t="s">
        <v>16</v>
      </c>
      <c r="AA87" s="583"/>
      <c r="AB87" s="120" t="s">
        <v>89</v>
      </c>
      <c r="AC87" s="587" t="s">
        <v>16</v>
      </c>
    </row>
    <row r="88" spans="1:32" ht="12" x14ac:dyDescent="0.2">
      <c r="A88" s="583"/>
      <c r="B88" s="615" t="s">
        <v>116</v>
      </c>
      <c r="C88" s="120">
        <v>2</v>
      </c>
      <c r="D88" s="784">
        <v>0.6</v>
      </c>
      <c r="E88" s="272">
        <v>3</v>
      </c>
      <c r="F88" s="620">
        <v>0.9</v>
      </c>
      <c r="G88" s="272">
        <v>3</v>
      </c>
      <c r="H88" s="620">
        <v>0.9</v>
      </c>
      <c r="I88" s="272">
        <v>3</v>
      </c>
      <c r="J88" s="620">
        <v>0.9</v>
      </c>
      <c r="K88" s="120">
        <v>3</v>
      </c>
      <c r="L88" s="620">
        <v>0.9</v>
      </c>
      <c r="M88" s="766">
        <v>3</v>
      </c>
      <c r="N88" s="632">
        <v>0.9</v>
      </c>
      <c r="O88" s="766">
        <v>3</v>
      </c>
      <c r="P88" s="632">
        <v>1.1000000000000001</v>
      </c>
      <c r="Q88" s="766">
        <v>2</v>
      </c>
      <c r="R88" s="377">
        <v>0.6</v>
      </c>
      <c r="S88" s="766">
        <v>3</v>
      </c>
      <c r="T88" s="377">
        <v>0.9</v>
      </c>
      <c r="U88" s="766">
        <v>3</v>
      </c>
      <c r="V88" s="377">
        <v>1.1000000000000001</v>
      </c>
      <c r="W88" s="766">
        <v>3</v>
      </c>
      <c r="X88" s="377">
        <v>0.6</v>
      </c>
      <c r="Y88" s="766">
        <v>3</v>
      </c>
      <c r="Z88" s="377">
        <v>0.6</v>
      </c>
      <c r="AA88" s="785"/>
      <c r="AB88" s="786">
        <f t="shared" ref="AB88:AB90" si="25">AVERAGE(W88,U88,S88,Q88,Y88)</f>
        <v>2.8</v>
      </c>
      <c r="AC88" s="978">
        <f t="shared" ref="AC88:AC90" si="26">AVERAGE(X88,V88,T88,R88,Z88)</f>
        <v>0.76</v>
      </c>
    </row>
    <row r="89" spans="1:32" ht="12" x14ac:dyDescent="0.2">
      <c r="A89" s="583"/>
      <c r="B89" s="615" t="s">
        <v>117</v>
      </c>
      <c r="C89" s="120">
        <v>2</v>
      </c>
      <c r="D89" s="784">
        <v>0.4</v>
      </c>
      <c r="E89" s="272">
        <v>3</v>
      </c>
      <c r="F89" s="620">
        <v>0.6</v>
      </c>
      <c r="G89" s="272">
        <v>3</v>
      </c>
      <c r="H89" s="620">
        <v>0.6</v>
      </c>
      <c r="I89" s="272">
        <v>3</v>
      </c>
      <c r="J89" s="620">
        <v>0.6</v>
      </c>
      <c r="K89" s="120">
        <v>3</v>
      </c>
      <c r="L89" s="620">
        <v>0.6</v>
      </c>
      <c r="M89" s="766">
        <v>3</v>
      </c>
      <c r="N89" s="632">
        <v>0.6</v>
      </c>
      <c r="O89" s="766">
        <v>2</v>
      </c>
      <c r="P89" s="632">
        <v>0.4</v>
      </c>
      <c r="Q89" s="766">
        <v>1</v>
      </c>
      <c r="R89" s="377">
        <v>0.3</v>
      </c>
      <c r="S89" s="766">
        <v>3</v>
      </c>
      <c r="T89" s="377">
        <v>0.6</v>
      </c>
      <c r="U89" s="766">
        <v>2</v>
      </c>
      <c r="V89" s="377">
        <v>0.4</v>
      </c>
      <c r="W89" s="766">
        <v>3</v>
      </c>
      <c r="X89" s="377">
        <v>0.9</v>
      </c>
      <c r="Y89" s="766">
        <v>3</v>
      </c>
      <c r="Z89" s="377">
        <v>0.9</v>
      </c>
      <c r="AA89" s="785"/>
      <c r="AB89" s="786">
        <f t="shared" si="25"/>
        <v>2.4</v>
      </c>
      <c r="AC89" s="978">
        <f t="shared" si="26"/>
        <v>0.61999999999999988</v>
      </c>
    </row>
    <row r="90" spans="1:32" thickBot="1" x14ac:dyDescent="0.25">
      <c r="A90" s="583"/>
      <c r="B90" s="616" t="s">
        <v>147</v>
      </c>
      <c r="C90" s="584">
        <v>0</v>
      </c>
      <c r="D90" s="788">
        <v>0</v>
      </c>
      <c r="E90" s="789">
        <v>0</v>
      </c>
      <c r="F90" s="621">
        <v>0</v>
      </c>
      <c r="G90" s="789">
        <v>0</v>
      </c>
      <c r="H90" s="621">
        <v>0</v>
      </c>
      <c r="I90" s="789">
        <v>0</v>
      </c>
      <c r="J90" s="621">
        <v>0</v>
      </c>
      <c r="K90" s="584">
        <v>0</v>
      </c>
      <c r="L90" s="621">
        <v>0</v>
      </c>
      <c r="M90" s="768">
        <v>0</v>
      </c>
      <c r="N90" s="838">
        <v>0</v>
      </c>
      <c r="O90" s="768">
        <v>1</v>
      </c>
      <c r="P90" s="838">
        <v>0.4</v>
      </c>
      <c r="Q90" s="768">
        <v>2</v>
      </c>
      <c r="R90" s="983">
        <v>0.5</v>
      </c>
      <c r="S90" s="768">
        <v>0</v>
      </c>
      <c r="T90" s="983">
        <v>0</v>
      </c>
      <c r="U90" s="768">
        <v>0</v>
      </c>
      <c r="V90" s="983">
        <v>0</v>
      </c>
      <c r="W90" s="768">
        <v>0</v>
      </c>
      <c r="X90" s="983">
        <v>0</v>
      </c>
      <c r="Y90" s="768">
        <v>0</v>
      </c>
      <c r="Z90" s="983">
        <v>0</v>
      </c>
      <c r="AA90" s="785"/>
      <c r="AB90" s="790">
        <f t="shared" si="25"/>
        <v>0.4</v>
      </c>
      <c r="AC90" s="979">
        <f t="shared" si="26"/>
        <v>0.1</v>
      </c>
      <c r="AE90" s="1" t="s">
        <v>26</v>
      </c>
      <c r="AF90" s="59"/>
    </row>
    <row r="91" spans="1:32" ht="14.25" customHeight="1" thickTop="1" thickBot="1" x14ac:dyDescent="0.3">
      <c r="A91" s="626"/>
      <c r="B91" s="628"/>
      <c r="C91" s="1141" t="s">
        <v>41</v>
      </c>
      <c r="D91" s="1142"/>
      <c r="E91" s="1141" t="s">
        <v>42</v>
      </c>
      <c r="F91" s="1142"/>
      <c r="G91" s="1145" t="s">
        <v>132</v>
      </c>
      <c r="H91" s="1146"/>
      <c r="I91" s="1145" t="s">
        <v>133</v>
      </c>
      <c r="J91" s="1146"/>
      <c r="K91" s="1145" t="s">
        <v>134</v>
      </c>
      <c r="L91" s="1146"/>
      <c r="M91" s="1149" t="s">
        <v>135</v>
      </c>
      <c r="N91" s="1136"/>
      <c r="O91" s="1135" t="s">
        <v>171</v>
      </c>
      <c r="P91" s="1136"/>
      <c r="Q91" s="1135" t="s">
        <v>170</v>
      </c>
      <c r="R91" s="1136"/>
      <c r="S91" s="1135" t="s">
        <v>177</v>
      </c>
      <c r="T91" s="1136"/>
      <c r="U91" s="1135" t="s">
        <v>180</v>
      </c>
      <c r="V91" s="1136"/>
      <c r="W91" s="1135" t="s">
        <v>184</v>
      </c>
      <c r="X91" s="1136"/>
      <c r="Y91" s="1135" t="s">
        <v>188</v>
      </c>
      <c r="Z91" s="1136"/>
      <c r="AA91" s="940"/>
      <c r="AB91" s="103"/>
      <c r="AC91" s="605"/>
      <c r="AD91" s="59"/>
    </row>
    <row r="92" spans="1:32" x14ac:dyDescent="0.2">
      <c r="B92" s="627" t="s">
        <v>143</v>
      </c>
      <c r="C92" s="1"/>
      <c r="D92" s="639"/>
      <c r="E92" s="660"/>
      <c r="F92" s="688"/>
      <c r="G92" s="661"/>
      <c r="H92" s="662"/>
      <c r="I92" s="631"/>
      <c r="J92" s="632"/>
      <c r="K92" s="630"/>
      <c r="L92" s="659"/>
      <c r="M92" s="630"/>
      <c r="N92" s="657"/>
      <c r="O92" s="947"/>
      <c r="P92" s="948"/>
      <c r="Q92" s="1044"/>
      <c r="R92" s="1045"/>
      <c r="S92" s="1044"/>
      <c r="T92" s="1045"/>
      <c r="U92" s="245"/>
      <c r="V92" s="918"/>
      <c r="W92" s="1044"/>
      <c r="X92" s="1045"/>
      <c r="Y92" s="1044"/>
      <c r="Z92" s="1045"/>
      <c r="AA92" s="59"/>
      <c r="AB92" s="59"/>
      <c r="AC92" s="59"/>
    </row>
    <row r="93" spans="1:32" ht="12" x14ac:dyDescent="0.2">
      <c r="A93" s="583"/>
      <c r="B93" s="651" t="s">
        <v>122</v>
      </c>
      <c r="C93" s="1202">
        <v>3</v>
      </c>
      <c r="D93" s="1203"/>
      <c r="E93" s="755"/>
      <c r="F93" s="756"/>
      <c r="G93" s="757"/>
      <c r="H93" s="758"/>
      <c r="I93" s="1137">
        <v>2.5</v>
      </c>
      <c r="J93" s="1138"/>
      <c r="K93" s="638"/>
      <c r="L93" s="690"/>
      <c r="M93" s="638"/>
      <c r="N93" s="657"/>
      <c r="O93" s="952"/>
      <c r="P93" s="953">
        <v>7.8</v>
      </c>
      <c r="Q93" s="1046"/>
      <c r="R93" s="1045"/>
      <c r="S93" s="1046"/>
      <c r="T93" s="1045"/>
      <c r="U93" s="253"/>
      <c r="V93" s="953">
        <v>8</v>
      </c>
      <c r="W93" s="1046"/>
      <c r="X93" s="1045"/>
      <c r="Y93" s="1046"/>
      <c r="Z93" s="1045"/>
      <c r="AA93" s="59"/>
      <c r="AB93" s="59"/>
      <c r="AC93" s="949"/>
    </row>
    <row r="94" spans="1:32" ht="12" customHeight="1" x14ac:dyDescent="0.2">
      <c r="A94" s="583"/>
      <c r="B94" s="652" t="s">
        <v>123</v>
      </c>
      <c r="C94" s="1202">
        <v>0</v>
      </c>
      <c r="D94" s="1203"/>
      <c r="E94" s="755"/>
      <c r="F94" s="756"/>
      <c r="G94" s="757"/>
      <c r="H94" s="758"/>
      <c r="I94" s="1137">
        <v>0</v>
      </c>
      <c r="J94" s="1138"/>
      <c r="K94" s="638"/>
      <c r="L94" s="690"/>
      <c r="M94" s="638"/>
      <c r="N94" s="657"/>
      <c r="O94" s="952"/>
      <c r="P94" s="953"/>
      <c r="Q94" s="1046"/>
      <c r="R94" s="1045"/>
      <c r="S94" s="1046"/>
      <c r="T94" s="1045"/>
      <c r="U94" s="253"/>
      <c r="V94" s="953"/>
      <c r="W94" s="1046"/>
      <c r="X94" s="1045"/>
      <c r="Y94" s="1046"/>
      <c r="Z94" s="1045"/>
      <c r="AA94" s="59"/>
      <c r="AB94" s="59"/>
      <c r="AC94" s="949"/>
    </row>
    <row r="95" spans="1:32" ht="12" customHeight="1" x14ac:dyDescent="0.2">
      <c r="A95" s="583"/>
      <c r="B95" s="652" t="s">
        <v>124</v>
      </c>
      <c r="C95" s="1202"/>
      <c r="D95" s="1203"/>
      <c r="E95" s="755"/>
      <c r="F95" s="756"/>
      <c r="G95" s="757"/>
      <c r="H95" s="758"/>
      <c r="I95" s="1137"/>
      <c r="J95" s="1138"/>
      <c r="K95" s="638"/>
      <c r="L95" s="690"/>
      <c r="M95" s="638"/>
      <c r="N95" s="657"/>
      <c r="O95" s="952"/>
      <c r="P95" s="953">
        <v>0</v>
      </c>
      <c r="Q95" s="1046"/>
      <c r="R95" s="1045"/>
      <c r="S95" s="1046"/>
      <c r="T95" s="1045"/>
      <c r="U95" s="253"/>
      <c r="V95" s="953">
        <v>0</v>
      </c>
      <c r="W95" s="1046"/>
      <c r="X95" s="1045"/>
      <c r="Y95" s="1046"/>
      <c r="Z95" s="1045"/>
      <c r="AA95" s="59"/>
      <c r="AB95" s="59"/>
      <c r="AC95" s="949"/>
    </row>
    <row r="96" spans="1:32" ht="12" x14ac:dyDescent="0.2">
      <c r="A96" s="583"/>
      <c r="B96" s="651" t="s">
        <v>125</v>
      </c>
      <c r="C96" s="1202">
        <v>0.4</v>
      </c>
      <c r="D96" s="1203"/>
      <c r="E96" s="755"/>
      <c r="F96" s="756"/>
      <c r="G96" s="757"/>
      <c r="H96" s="758"/>
      <c r="I96" s="1137">
        <v>0.6</v>
      </c>
      <c r="J96" s="1138"/>
      <c r="K96" s="638"/>
      <c r="L96" s="690"/>
      <c r="M96" s="638"/>
      <c r="N96" s="657"/>
      <c r="O96" s="952"/>
      <c r="P96" s="953">
        <v>0.4</v>
      </c>
      <c r="Q96" s="1046"/>
      <c r="R96" s="1045"/>
      <c r="S96" s="1046"/>
      <c r="T96" s="1045"/>
      <c r="U96" s="253"/>
      <c r="V96" s="953">
        <v>0.4</v>
      </c>
      <c r="W96" s="1046"/>
      <c r="X96" s="1045"/>
      <c r="Y96" s="1046"/>
      <c r="Z96" s="1045"/>
      <c r="AA96" s="59"/>
      <c r="AB96" s="59"/>
      <c r="AC96" s="949"/>
    </row>
    <row r="97" spans="1:29" ht="12" x14ac:dyDescent="0.2">
      <c r="A97" s="583"/>
      <c r="B97" s="653" t="s">
        <v>126</v>
      </c>
      <c r="C97" s="1202">
        <v>3.2</v>
      </c>
      <c r="D97" s="1203"/>
      <c r="E97" s="755"/>
      <c r="F97" s="756"/>
      <c r="G97" s="757"/>
      <c r="H97" s="758"/>
      <c r="I97" s="1137">
        <v>3.2</v>
      </c>
      <c r="J97" s="1138"/>
      <c r="K97" s="638"/>
      <c r="L97" s="690"/>
      <c r="M97" s="638"/>
      <c r="N97" s="657"/>
      <c r="O97" s="952"/>
      <c r="P97" s="953">
        <v>4</v>
      </c>
      <c r="Q97" s="1046"/>
      <c r="R97" s="1045"/>
      <c r="S97" s="1046"/>
      <c r="T97" s="1045"/>
      <c r="U97" s="253"/>
      <c r="V97" s="953">
        <f>4+1</f>
        <v>5</v>
      </c>
      <c r="W97" s="1046"/>
      <c r="X97" s="1045"/>
      <c r="Y97" s="1046"/>
      <c r="Z97" s="1045"/>
      <c r="AA97" s="59"/>
      <c r="AB97" s="59"/>
      <c r="AC97" s="949"/>
    </row>
    <row r="98" spans="1:29" ht="12" x14ac:dyDescent="0.2">
      <c r="A98" s="583"/>
      <c r="B98" s="653" t="s">
        <v>127</v>
      </c>
      <c r="C98" s="1202">
        <f>SUM(C93:D97)</f>
        <v>6.6</v>
      </c>
      <c r="D98" s="1203"/>
      <c r="E98" s="755"/>
      <c r="F98" s="756"/>
      <c r="G98" s="757"/>
      <c r="H98" s="758"/>
      <c r="I98" s="1137">
        <f>SUM(I93:J97)</f>
        <v>6.3000000000000007</v>
      </c>
      <c r="J98" s="1138"/>
      <c r="K98" s="638"/>
      <c r="L98" s="690"/>
      <c r="M98" s="638"/>
      <c r="N98" s="657"/>
      <c r="O98" s="952"/>
      <c r="P98" s="953">
        <f>SUM(P93:P97)</f>
        <v>12.2</v>
      </c>
      <c r="Q98" s="1046"/>
      <c r="R98" s="1045"/>
      <c r="S98" s="1046"/>
      <c r="T98" s="1045"/>
      <c r="U98" s="253"/>
      <c r="V98" s="953">
        <f>SUM(V93:V97)</f>
        <v>13.4</v>
      </c>
      <c r="W98" s="1046"/>
      <c r="X98" s="1045"/>
      <c r="Y98" s="1046"/>
      <c r="Z98" s="1045"/>
      <c r="AA98" s="59"/>
      <c r="AB98" s="59"/>
      <c r="AC98" s="949"/>
    </row>
    <row r="99" spans="1:29" thickBot="1" x14ac:dyDescent="0.25">
      <c r="A99" s="583"/>
      <c r="B99" s="654" t="s">
        <v>137</v>
      </c>
      <c r="C99" s="1202"/>
      <c r="D99" s="1203"/>
      <c r="E99" s="629"/>
      <c r="F99" s="689"/>
      <c r="G99" s="630"/>
      <c r="H99" s="657"/>
      <c r="I99" s="1202"/>
      <c r="J99" s="1203"/>
      <c r="K99" s="638"/>
      <c r="L99" s="690"/>
      <c r="M99" s="638"/>
      <c r="N99" s="657"/>
      <c r="O99" s="952"/>
      <c r="P99" s="918"/>
      <c r="Q99" s="1046"/>
      <c r="R99" s="1045"/>
      <c r="S99" s="1046"/>
      <c r="T99" s="1045"/>
      <c r="U99" s="253"/>
      <c r="V99" s="918"/>
      <c r="W99" s="1046"/>
      <c r="X99" s="1045"/>
      <c r="Y99" s="1046"/>
      <c r="Z99" s="1045"/>
      <c r="AA99" s="59"/>
      <c r="AB99" s="59"/>
      <c r="AC99" s="949"/>
    </row>
    <row r="100" spans="1:29" ht="12" x14ac:dyDescent="0.2">
      <c r="A100" s="583"/>
      <c r="B100" s="651" t="s">
        <v>128</v>
      </c>
      <c r="C100" s="1212">
        <v>1620</v>
      </c>
      <c r="D100" s="1213"/>
      <c r="E100" s="743"/>
      <c r="F100" s="744"/>
      <c r="G100" s="745"/>
      <c r="H100" s="746"/>
      <c r="I100" s="1212">
        <v>1254</v>
      </c>
      <c r="J100" s="1213"/>
      <c r="K100" s="638"/>
      <c r="L100" s="690"/>
      <c r="M100" s="638"/>
      <c r="N100" s="657"/>
      <c r="O100" s="957"/>
      <c r="P100" s="958">
        <v>1488</v>
      </c>
      <c r="Q100" s="1046"/>
      <c r="R100" s="1045"/>
      <c r="S100" s="1046"/>
      <c r="T100" s="1045"/>
      <c r="U100" s="253"/>
      <c r="V100" s="958">
        <v>1839</v>
      </c>
      <c r="W100" s="1046"/>
      <c r="X100" s="1045"/>
      <c r="Y100" s="1046"/>
      <c r="Z100" s="1045"/>
      <c r="AA100" s="59"/>
      <c r="AB100" s="59"/>
      <c r="AC100" s="738"/>
    </row>
    <row r="101" spans="1:29" ht="12" x14ac:dyDescent="0.2">
      <c r="A101" s="583"/>
      <c r="B101" s="653" t="s">
        <v>129</v>
      </c>
      <c r="C101" s="1212">
        <v>0</v>
      </c>
      <c r="D101" s="1213"/>
      <c r="E101" s="743"/>
      <c r="F101" s="744"/>
      <c r="G101" s="745"/>
      <c r="H101" s="746"/>
      <c r="I101" s="1212">
        <v>0</v>
      </c>
      <c r="J101" s="1213"/>
      <c r="K101" s="638"/>
      <c r="L101" s="690"/>
      <c r="M101" s="638"/>
      <c r="N101" s="657"/>
      <c r="O101" s="957"/>
      <c r="P101" s="958">
        <v>0</v>
      </c>
      <c r="Q101" s="1046"/>
      <c r="R101" s="1045"/>
      <c r="S101" s="1046"/>
      <c r="T101" s="1045"/>
      <c r="U101" s="253"/>
      <c r="V101" s="958">
        <v>0</v>
      </c>
      <c r="W101" s="1046"/>
      <c r="X101" s="1045"/>
      <c r="Y101" s="1046"/>
      <c r="Z101" s="1045"/>
      <c r="AA101" s="59"/>
      <c r="AB101" s="59"/>
      <c r="AC101" s="738"/>
    </row>
    <row r="102" spans="1:29" ht="12" x14ac:dyDescent="0.2">
      <c r="A102" s="583"/>
      <c r="B102" s="653" t="s">
        <v>130</v>
      </c>
      <c r="C102" s="1212">
        <v>2811</v>
      </c>
      <c r="D102" s="1213"/>
      <c r="E102" s="743"/>
      <c r="F102" s="744"/>
      <c r="G102" s="745"/>
      <c r="H102" s="746"/>
      <c r="I102" s="1212">
        <v>2865</v>
      </c>
      <c r="J102" s="1213"/>
      <c r="K102" s="638"/>
      <c r="L102" s="690"/>
      <c r="M102" s="638"/>
      <c r="N102" s="657"/>
      <c r="O102" s="957"/>
      <c r="P102" s="958">
        <v>2802</v>
      </c>
      <c r="Q102" s="1046"/>
      <c r="R102" s="1045"/>
      <c r="S102" s="1046"/>
      <c r="T102" s="1045"/>
      <c r="U102" s="253"/>
      <c r="V102" s="958">
        <f>3009+180</f>
        <v>3189</v>
      </c>
      <c r="W102" s="1046"/>
      <c r="X102" s="1045"/>
      <c r="Y102" s="1046"/>
      <c r="Z102" s="1045"/>
      <c r="AA102" s="59"/>
      <c r="AB102" s="59"/>
      <c r="AC102" s="738"/>
    </row>
    <row r="103" spans="1:29" ht="12" x14ac:dyDescent="0.2">
      <c r="A103" s="583"/>
      <c r="B103" s="653" t="s">
        <v>142</v>
      </c>
      <c r="C103" s="1212">
        <f>SUM(C100:D102)</f>
        <v>4431</v>
      </c>
      <c r="D103" s="1213"/>
      <c r="E103" s="743"/>
      <c r="F103" s="744"/>
      <c r="G103" s="745"/>
      <c r="H103" s="746"/>
      <c r="I103" s="1212">
        <f>SUM(I100:J102)</f>
        <v>4119</v>
      </c>
      <c r="J103" s="1213"/>
      <c r="K103" s="638"/>
      <c r="L103" s="690"/>
      <c r="M103" s="638"/>
      <c r="N103" s="657"/>
      <c r="O103" s="957"/>
      <c r="P103" s="958">
        <f>SUM(P100:P102)</f>
        <v>4290</v>
      </c>
      <c r="Q103" s="1046"/>
      <c r="R103" s="1045"/>
      <c r="S103" s="1046"/>
      <c r="T103" s="1045"/>
      <c r="U103" s="253"/>
      <c r="V103" s="958">
        <f>SUM(V100:V102)</f>
        <v>5028</v>
      </c>
      <c r="W103" s="1046"/>
      <c r="X103" s="1045"/>
      <c r="Y103" s="1046"/>
      <c r="Z103" s="1045"/>
      <c r="AA103" s="59"/>
      <c r="AB103" s="59"/>
      <c r="AC103" s="738"/>
    </row>
    <row r="104" spans="1:29" thickBot="1" x14ac:dyDescent="0.25">
      <c r="A104" s="583"/>
      <c r="B104" s="654" t="s">
        <v>138</v>
      </c>
      <c r="C104" s="1137"/>
      <c r="D104" s="1138"/>
      <c r="E104" s="629"/>
      <c r="F104" s="689"/>
      <c r="G104" s="630"/>
      <c r="H104" s="657"/>
      <c r="I104" s="1137"/>
      <c r="J104" s="1138"/>
      <c r="K104" s="638"/>
      <c r="L104" s="690"/>
      <c r="M104" s="638"/>
      <c r="N104" s="657"/>
      <c r="O104" s="959"/>
      <c r="P104" s="953"/>
      <c r="Q104" s="1046"/>
      <c r="R104" s="1045"/>
      <c r="S104" s="1046"/>
      <c r="T104" s="1045"/>
      <c r="U104" s="253"/>
      <c r="V104" s="953"/>
      <c r="W104" s="1046"/>
      <c r="X104" s="1045"/>
      <c r="Y104" s="1046"/>
      <c r="Z104" s="1045"/>
      <c r="AA104" s="59"/>
      <c r="AB104" s="59"/>
      <c r="AC104" s="738"/>
    </row>
    <row r="105" spans="1:29" ht="12" x14ac:dyDescent="0.2">
      <c r="A105" s="583"/>
      <c r="B105" s="651" t="s">
        <v>139</v>
      </c>
      <c r="C105" s="1137">
        <f>C100/C93</f>
        <v>540</v>
      </c>
      <c r="D105" s="1138"/>
      <c r="E105" s="747"/>
      <c r="F105" s="748"/>
      <c r="G105" s="749"/>
      <c r="H105" s="750"/>
      <c r="I105" s="1139">
        <f>I100/I93</f>
        <v>501.6</v>
      </c>
      <c r="J105" s="1140"/>
      <c r="K105" s="638"/>
      <c r="L105" s="691"/>
      <c r="M105" s="638"/>
      <c r="N105" s="657"/>
      <c r="O105" s="959"/>
      <c r="P105" s="960">
        <f>P100/P93</f>
        <v>190.76923076923077</v>
      </c>
      <c r="Q105" s="1046"/>
      <c r="R105" s="1045"/>
      <c r="S105" s="1046"/>
      <c r="T105" s="1045"/>
      <c r="U105" s="253"/>
      <c r="V105" s="960">
        <f>V100/V93</f>
        <v>229.875</v>
      </c>
      <c r="W105" s="1046"/>
      <c r="X105" s="1045"/>
      <c r="Y105" s="1046"/>
      <c r="Z105" s="1045"/>
      <c r="AA105" s="59"/>
      <c r="AB105" s="59"/>
      <c r="AC105" s="738"/>
    </row>
    <row r="106" spans="1:29" ht="12" x14ac:dyDescent="0.2">
      <c r="A106" s="583"/>
      <c r="B106" s="653" t="s">
        <v>140</v>
      </c>
      <c r="C106" s="1137">
        <f>C101/SUM(C94:D96)</f>
        <v>0</v>
      </c>
      <c r="D106" s="1138"/>
      <c r="E106" s="747"/>
      <c r="F106" s="748"/>
      <c r="G106" s="749"/>
      <c r="H106" s="750"/>
      <c r="I106" s="1139">
        <f>I101/SUM(I94:J96)</f>
        <v>0</v>
      </c>
      <c r="J106" s="1140"/>
      <c r="K106" s="638"/>
      <c r="L106" s="691"/>
      <c r="M106" s="638"/>
      <c r="N106" s="657"/>
      <c r="O106" s="959"/>
      <c r="P106" s="960">
        <v>0</v>
      </c>
      <c r="Q106" s="1046"/>
      <c r="R106" s="1045"/>
      <c r="S106" s="1046"/>
      <c r="T106" s="1045"/>
      <c r="U106" s="253"/>
      <c r="V106" s="960">
        <f>V101/(V95+V96)</f>
        <v>0</v>
      </c>
      <c r="W106" s="1046"/>
      <c r="X106" s="1045"/>
      <c r="Y106" s="1046"/>
      <c r="Z106" s="1045"/>
      <c r="AA106" s="59"/>
      <c r="AB106" s="59"/>
      <c r="AC106" s="738"/>
    </row>
    <row r="107" spans="1:29" ht="12" x14ac:dyDescent="0.2">
      <c r="A107" s="583"/>
      <c r="B107" s="653" t="s">
        <v>141</v>
      </c>
      <c r="C107" s="1137">
        <f>C102/C97</f>
        <v>878.4375</v>
      </c>
      <c r="D107" s="1138"/>
      <c r="E107" s="747"/>
      <c r="F107" s="748"/>
      <c r="G107" s="749"/>
      <c r="H107" s="750"/>
      <c r="I107" s="1139">
        <f>I102/I97</f>
        <v>895.3125</v>
      </c>
      <c r="J107" s="1140"/>
      <c r="K107" s="638"/>
      <c r="L107" s="691"/>
      <c r="M107" s="638"/>
      <c r="N107" s="657"/>
      <c r="O107" s="959"/>
      <c r="P107" s="960">
        <f>P102/P97</f>
        <v>700.5</v>
      </c>
      <c r="Q107" s="1046"/>
      <c r="R107" s="1045"/>
      <c r="S107" s="1046"/>
      <c r="T107" s="1045"/>
      <c r="U107" s="253"/>
      <c r="V107" s="960">
        <f>V102/V97</f>
        <v>637.79999999999995</v>
      </c>
      <c r="W107" s="1046"/>
      <c r="X107" s="1045"/>
      <c r="Y107" s="1046"/>
      <c r="Z107" s="1045"/>
      <c r="AA107" s="59"/>
      <c r="AB107" s="59"/>
      <c r="AC107" s="738"/>
    </row>
    <row r="108" spans="1:29" thickBot="1" x14ac:dyDescent="0.25">
      <c r="A108" s="583"/>
      <c r="B108" s="656" t="s">
        <v>131</v>
      </c>
      <c r="C108" s="1143">
        <f>C103/C98</f>
        <v>671.36363636363637</v>
      </c>
      <c r="D108" s="1144"/>
      <c r="E108" s="751"/>
      <c r="F108" s="752"/>
      <c r="G108" s="753"/>
      <c r="H108" s="754"/>
      <c r="I108" s="1223">
        <f>I103/I98</f>
        <v>653.80952380952374</v>
      </c>
      <c r="J108" s="1224"/>
      <c r="K108" s="655"/>
      <c r="L108" s="658"/>
      <c r="M108" s="655"/>
      <c r="N108" s="658"/>
      <c r="O108" s="961"/>
      <c r="P108" s="962">
        <f>P103/P98</f>
        <v>351.63934426229508</v>
      </c>
      <c r="Q108" s="1047"/>
      <c r="R108" s="1048"/>
      <c r="S108" s="1047"/>
      <c r="T108" s="1048"/>
      <c r="U108" s="301"/>
      <c r="V108" s="962">
        <f>V103/V98</f>
        <v>375.2238805970149</v>
      </c>
      <c r="W108" s="1047"/>
      <c r="X108" s="1048"/>
      <c r="Y108" s="1047"/>
      <c r="Z108" s="1048"/>
      <c r="AA108" s="59"/>
      <c r="AB108" s="59"/>
      <c r="AC108" s="738"/>
    </row>
    <row r="109" spans="1:29" thickTop="1" x14ac:dyDescent="0.2">
      <c r="B109" s="1" t="str">
        <f>'bus sum'!B117</f>
        <v>*Note: For the 2009 collection cycle and later, Instructional FTE was defined according to the national Delaware Study of Instructional Costs and Productivity</v>
      </c>
      <c r="C109" s="1"/>
      <c r="D109" s="1"/>
      <c r="E109" s="1"/>
      <c r="F109" s="1"/>
      <c r="G109" s="245"/>
      <c r="H109" s="245"/>
      <c r="I109" s="245"/>
      <c r="J109" s="245"/>
      <c r="AC109" s="59"/>
    </row>
    <row r="110" spans="1:29" ht="12" x14ac:dyDescent="0.2">
      <c r="C110" s="1"/>
      <c r="D110" s="1"/>
      <c r="E110" s="1"/>
      <c r="F110" s="1"/>
      <c r="G110" s="245"/>
      <c r="H110" s="245"/>
      <c r="I110" s="245"/>
      <c r="J110" s="245"/>
    </row>
    <row r="111" spans="1:29" ht="12" x14ac:dyDescent="0.2">
      <c r="C111" s="1"/>
      <c r="D111" s="1"/>
      <c r="E111" s="1"/>
      <c r="F111" s="1"/>
      <c r="G111" s="245"/>
      <c r="H111" s="245"/>
      <c r="I111" s="245"/>
      <c r="J111" s="245"/>
    </row>
    <row r="112" spans="1:29" ht="12" x14ac:dyDescent="0.2">
      <c r="C112" s="1"/>
      <c r="D112" s="1"/>
      <c r="E112" s="1"/>
      <c r="F112" s="1"/>
      <c r="G112" s="245"/>
      <c r="H112" s="245"/>
      <c r="I112" s="245"/>
      <c r="J112" s="245"/>
    </row>
    <row r="113" spans="3:10" ht="12" x14ac:dyDescent="0.2">
      <c r="C113" s="1"/>
      <c r="D113" s="1"/>
      <c r="E113" s="1"/>
      <c r="F113" s="1"/>
      <c r="G113" s="245"/>
      <c r="H113" s="245"/>
      <c r="I113" s="245"/>
      <c r="J113" s="245"/>
    </row>
    <row r="114" spans="3:10" ht="12" x14ac:dyDescent="0.2">
      <c r="C114" s="1"/>
      <c r="D114" s="1"/>
      <c r="E114" s="1"/>
      <c r="F114" s="1"/>
      <c r="G114" s="245"/>
      <c r="H114" s="245"/>
      <c r="I114" s="245"/>
      <c r="J114" s="245"/>
    </row>
    <row r="115" spans="3:10" ht="12" x14ac:dyDescent="0.2">
      <c r="C115" s="1"/>
      <c r="D115" s="1"/>
      <c r="E115" s="1"/>
      <c r="F115" s="1"/>
      <c r="G115" s="245"/>
      <c r="H115" s="245"/>
      <c r="I115" s="245"/>
      <c r="J115" s="245"/>
    </row>
    <row r="116" spans="3:10" ht="12" x14ac:dyDescent="0.2">
      <c r="C116" s="1"/>
      <c r="D116" s="1"/>
      <c r="E116" s="1"/>
      <c r="F116" s="1"/>
      <c r="G116" s="245"/>
      <c r="H116" s="245"/>
      <c r="I116" s="245"/>
      <c r="J116" s="245"/>
    </row>
    <row r="117" spans="3:10" ht="12" x14ac:dyDescent="0.2">
      <c r="C117" s="1"/>
      <c r="D117" s="1"/>
      <c r="E117" s="1"/>
      <c r="F117" s="1"/>
      <c r="G117" s="245"/>
      <c r="H117" s="245"/>
      <c r="I117" s="245"/>
      <c r="J117" s="245"/>
    </row>
    <row r="118" spans="3:10" ht="12" x14ac:dyDescent="0.2">
      <c r="C118" s="1"/>
      <c r="D118" s="1"/>
      <c r="E118" s="1"/>
      <c r="F118" s="1"/>
      <c r="G118" s="245"/>
      <c r="H118" s="245"/>
      <c r="I118" s="245"/>
      <c r="J118" s="245"/>
    </row>
    <row r="119" spans="3:10" ht="12" x14ac:dyDescent="0.2">
      <c r="C119" s="1"/>
      <c r="D119" s="1"/>
      <c r="E119" s="1"/>
      <c r="F119" s="1"/>
      <c r="G119" s="245"/>
      <c r="H119" s="245"/>
      <c r="I119" s="245"/>
      <c r="J119" s="245"/>
    </row>
    <row r="120" spans="3:10" ht="12" x14ac:dyDescent="0.2">
      <c r="C120" s="1"/>
      <c r="D120" s="1"/>
      <c r="E120" s="1"/>
      <c r="F120" s="1"/>
      <c r="G120" s="245"/>
      <c r="H120" s="245"/>
      <c r="I120" s="245"/>
      <c r="J120" s="245"/>
    </row>
    <row r="121" spans="3:10" ht="12" x14ac:dyDescent="0.2">
      <c r="C121" s="1"/>
      <c r="D121" s="1"/>
      <c r="E121" s="1"/>
      <c r="F121" s="1"/>
      <c r="G121" s="245"/>
      <c r="H121" s="245"/>
      <c r="I121" s="245"/>
      <c r="J121" s="245"/>
    </row>
    <row r="122" spans="3:10" ht="12" x14ac:dyDescent="0.2">
      <c r="C122" s="1"/>
      <c r="D122" s="1"/>
      <c r="E122" s="1"/>
      <c r="F122" s="1"/>
      <c r="G122" s="245"/>
      <c r="H122" s="245"/>
      <c r="I122" s="245"/>
      <c r="J122" s="245"/>
    </row>
    <row r="123" spans="3:10" ht="12" x14ac:dyDescent="0.2">
      <c r="C123" s="1"/>
      <c r="D123" s="1"/>
      <c r="E123" s="1"/>
      <c r="F123" s="1"/>
      <c r="G123" s="245"/>
      <c r="H123" s="245"/>
      <c r="I123" s="245"/>
      <c r="J123" s="245"/>
    </row>
    <row r="124" spans="3:10" ht="12" x14ac:dyDescent="0.2">
      <c r="C124" s="1"/>
      <c r="D124" s="1"/>
      <c r="E124" s="1"/>
      <c r="F124" s="1"/>
      <c r="G124" s="245"/>
      <c r="H124" s="245"/>
      <c r="I124" s="245"/>
      <c r="J124" s="245"/>
    </row>
    <row r="125" spans="3:10" ht="12" x14ac:dyDescent="0.2">
      <c r="C125" s="1"/>
      <c r="D125" s="1"/>
      <c r="E125" s="1"/>
      <c r="F125" s="1"/>
      <c r="G125" s="245"/>
      <c r="H125" s="245"/>
      <c r="I125" s="245"/>
      <c r="J125" s="245"/>
    </row>
    <row r="126" spans="3:10" ht="12" x14ac:dyDescent="0.2">
      <c r="C126" s="1"/>
      <c r="D126" s="1"/>
      <c r="E126" s="1"/>
      <c r="F126" s="1"/>
      <c r="G126" s="245"/>
      <c r="H126" s="245"/>
      <c r="I126" s="245"/>
      <c r="J126" s="245"/>
    </row>
    <row r="127" spans="3:10" ht="12" x14ac:dyDescent="0.2">
      <c r="C127" s="1"/>
      <c r="D127" s="1"/>
      <c r="E127" s="1"/>
      <c r="F127" s="1"/>
      <c r="G127" s="245"/>
      <c r="H127" s="245"/>
      <c r="I127" s="245"/>
      <c r="J127" s="245"/>
    </row>
    <row r="128" spans="3:10" ht="12" x14ac:dyDescent="0.2">
      <c r="C128" s="1"/>
      <c r="D128" s="1"/>
      <c r="E128" s="1"/>
      <c r="F128" s="1"/>
      <c r="G128" s="245"/>
      <c r="H128" s="245"/>
      <c r="I128" s="245"/>
      <c r="J128" s="245"/>
    </row>
    <row r="129" spans="3:10" ht="12" x14ac:dyDescent="0.2">
      <c r="C129" s="1"/>
      <c r="D129" s="1"/>
      <c r="E129" s="1"/>
      <c r="F129" s="1"/>
      <c r="G129" s="245"/>
      <c r="H129" s="245"/>
      <c r="I129" s="245"/>
      <c r="J129" s="245"/>
    </row>
    <row r="130" spans="3:10" ht="12" x14ac:dyDescent="0.2">
      <c r="C130" s="1"/>
      <c r="D130" s="1"/>
      <c r="E130" s="1"/>
      <c r="F130" s="1"/>
      <c r="G130" s="245"/>
      <c r="H130" s="245"/>
      <c r="I130" s="245"/>
      <c r="J130" s="245"/>
    </row>
    <row r="131" spans="3:10" ht="12" x14ac:dyDescent="0.2">
      <c r="C131" s="1"/>
      <c r="D131" s="1"/>
      <c r="E131" s="1"/>
      <c r="F131" s="1"/>
      <c r="G131" s="245"/>
      <c r="H131" s="245"/>
      <c r="I131" s="245"/>
      <c r="J131" s="245"/>
    </row>
  </sheetData>
  <mergeCells count="119">
    <mergeCell ref="W25:X25"/>
    <mergeCell ref="W32:X32"/>
    <mergeCell ref="W56:X56"/>
    <mergeCell ref="W91:X91"/>
    <mergeCell ref="C96:D96"/>
    <mergeCell ref="C103:D103"/>
    <mergeCell ref="I103:J103"/>
    <mergeCell ref="C99:D99"/>
    <mergeCell ref="I99:J99"/>
    <mergeCell ref="C100:D100"/>
    <mergeCell ref="I100:J100"/>
    <mergeCell ref="C102:D102"/>
    <mergeCell ref="I102:J102"/>
    <mergeCell ref="I96:J96"/>
    <mergeCell ref="C97:D97"/>
    <mergeCell ref="C98:D98"/>
    <mergeCell ref="I98:J98"/>
    <mergeCell ref="I97:J97"/>
    <mergeCell ref="O28:P28"/>
    <mergeCell ref="C28:D28"/>
    <mergeCell ref="K28:L28"/>
    <mergeCell ref="M28:N28"/>
    <mergeCell ref="I91:J91"/>
    <mergeCell ref="C101:D101"/>
    <mergeCell ref="C104:D104"/>
    <mergeCell ref="I104:J104"/>
    <mergeCell ref="C108:D108"/>
    <mergeCell ref="I108:J108"/>
    <mergeCell ref="C105:D105"/>
    <mergeCell ref="I105:J105"/>
    <mergeCell ref="C106:D106"/>
    <mergeCell ref="I106:J106"/>
    <mergeCell ref="C107:D107"/>
    <mergeCell ref="I107:J107"/>
    <mergeCell ref="I101:J101"/>
    <mergeCell ref="M91:N91"/>
    <mergeCell ref="C93:D93"/>
    <mergeCell ref="I93:J93"/>
    <mergeCell ref="C94:D95"/>
    <mergeCell ref="I94:J95"/>
    <mergeCell ref="C91:D91"/>
    <mergeCell ref="E91:F91"/>
    <mergeCell ref="G91:H91"/>
    <mergeCell ref="K91:L91"/>
    <mergeCell ref="E27:F27"/>
    <mergeCell ref="G27:H27"/>
    <mergeCell ref="G56:H56"/>
    <mergeCell ref="E56:F56"/>
    <mergeCell ref="I32:J32"/>
    <mergeCell ref="C56:D56"/>
    <mergeCell ref="I56:J56"/>
    <mergeCell ref="AB32:AC32"/>
    <mergeCell ref="AB56:AC56"/>
    <mergeCell ref="O32:P32"/>
    <mergeCell ref="O56:P56"/>
    <mergeCell ref="M32:N32"/>
    <mergeCell ref="M56:N56"/>
    <mergeCell ref="G32:H32"/>
    <mergeCell ref="K56:L56"/>
    <mergeCell ref="AB7:AC7"/>
    <mergeCell ref="AB17:AC17"/>
    <mergeCell ref="C32:D32"/>
    <mergeCell ref="E32:F32"/>
    <mergeCell ref="C17:D17"/>
    <mergeCell ref="E28:F28"/>
    <mergeCell ref="G28:H28"/>
    <mergeCell ref="K32:L32"/>
    <mergeCell ref="E17:F17"/>
    <mergeCell ref="C25:D25"/>
    <mergeCell ref="E25:F25"/>
    <mergeCell ref="C26:D26"/>
    <mergeCell ref="E26:F26"/>
    <mergeCell ref="I27:J27"/>
    <mergeCell ref="I28:J28"/>
    <mergeCell ref="C27:D27"/>
    <mergeCell ref="I17:J17"/>
    <mergeCell ref="K25:L25"/>
    <mergeCell ref="G17:H17"/>
    <mergeCell ref="G26:H26"/>
    <mergeCell ref="I25:J25"/>
    <mergeCell ref="K17:L17"/>
    <mergeCell ref="I26:J26"/>
    <mergeCell ref="G25:H25"/>
    <mergeCell ref="K7:L7"/>
    <mergeCell ref="O7:P7"/>
    <mergeCell ref="O17:P17"/>
    <mergeCell ref="O25:P25"/>
    <mergeCell ref="M7:N7"/>
    <mergeCell ref="Q7:R7"/>
    <mergeCell ref="S7:T7"/>
    <mergeCell ref="Q17:R17"/>
    <mergeCell ref="Q25:R25"/>
    <mergeCell ref="S17:T17"/>
    <mergeCell ref="S25:T25"/>
    <mergeCell ref="M25:N25"/>
    <mergeCell ref="Y7:Z7"/>
    <mergeCell ref="Y17:Z17"/>
    <mergeCell ref="Y25:Z25"/>
    <mergeCell ref="Y32:Z32"/>
    <mergeCell ref="Y56:Z56"/>
    <mergeCell ref="Y91:Z91"/>
    <mergeCell ref="M17:N17"/>
    <mergeCell ref="Q28:R28"/>
    <mergeCell ref="U7:V7"/>
    <mergeCell ref="U17:V17"/>
    <mergeCell ref="U25:V25"/>
    <mergeCell ref="S28:T28"/>
    <mergeCell ref="O91:P91"/>
    <mergeCell ref="S91:T91"/>
    <mergeCell ref="Q56:R56"/>
    <mergeCell ref="Q91:R91"/>
    <mergeCell ref="Q32:R32"/>
    <mergeCell ref="U91:V91"/>
    <mergeCell ref="U32:V32"/>
    <mergeCell ref="U56:V56"/>
    <mergeCell ref="S32:T32"/>
    <mergeCell ref="S56:T56"/>
    <mergeCell ref="W7:X7"/>
    <mergeCell ref="W17:X17"/>
  </mergeCells>
  <phoneticPr fontId="0" type="noConversion"/>
  <printOptions horizontalCentered="1"/>
  <pageMargins left="0.34" right="0.34" top="0.5" bottom="0.5" header="0.5" footer="0.5"/>
  <pageSetup scale="70" orientation="landscape" horizontalDpi="4294967292" verticalDpi="4294967292" r:id="rId1"/>
  <headerFooter alignWithMargins="0">
    <oddFooter>&amp;R&amp;P of &amp;N
&amp;D</oddFooter>
  </headerFooter>
  <rowBreaks count="1" manualBreakCount="1">
    <brk id="53" max="19" man="1"/>
  </rowBreaks>
  <ignoredErrors>
    <ignoredError sqref="M75:M85 M66 S66:S85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30"/>
  <sheetViews>
    <sheetView tabSelected="1" zoomScale="85" zoomScaleNormal="85" zoomScaleSheetLayoutView="100" workbookViewId="0">
      <pane xSplit="2" ySplit="1" topLeftCell="R33" activePane="bottomRight" state="frozen"/>
      <selection pane="topRight" activeCell="U1" sqref="U1"/>
      <selection pane="bottomLeft" activeCell="A2" sqref="A2"/>
      <selection pane="bottomRight" activeCell="AB1" sqref="AB1:AC1048576"/>
    </sheetView>
  </sheetViews>
  <sheetFormatPr defaultColWidth="10.28515625" defaultRowHeight="12.75" x14ac:dyDescent="0.2"/>
  <cols>
    <col min="1" max="1" width="3.7109375" style="1" customWidth="1"/>
    <col min="2" max="2" width="39.28515625" style="1" customWidth="1"/>
    <col min="3" max="3" width="8.7109375" hidden="1" customWidth="1"/>
    <col min="4" max="4" width="10.28515625" hidden="1" customWidth="1"/>
    <col min="5" max="5" width="8.7109375" hidden="1" customWidth="1"/>
    <col min="6" max="6" width="10.140625" hidden="1" customWidth="1"/>
    <col min="7" max="7" width="8.7109375" style="246" hidden="1" customWidth="1"/>
    <col min="8" max="8" width="10.140625" style="246" hidden="1" customWidth="1"/>
    <col min="9" max="9" width="8.7109375" style="246" hidden="1" customWidth="1"/>
    <col min="10" max="10" width="10.7109375" style="246" hidden="1" customWidth="1"/>
    <col min="11" max="11" width="8.7109375" style="1" hidden="1" customWidth="1"/>
    <col min="12" max="12" width="11.5703125" style="1" hidden="1" customWidth="1"/>
    <col min="13" max="13" width="10.28515625" style="1" hidden="1" customWidth="1"/>
    <col min="14" max="14" width="12.7109375" style="1" hidden="1" customWidth="1"/>
    <col min="15" max="15" width="10.28515625" style="1" customWidth="1"/>
    <col min="16" max="16" width="12.7109375" style="1" customWidth="1"/>
    <col min="17" max="17" width="10.28515625" style="1" customWidth="1"/>
    <col min="18" max="18" width="12.7109375" style="1" customWidth="1"/>
    <col min="19" max="19" width="10.28515625" style="1" customWidth="1"/>
    <col min="20" max="20" width="12.7109375" style="1" customWidth="1"/>
    <col min="21" max="21" width="10.28515625" style="1" customWidth="1"/>
    <col min="22" max="22" width="12.7109375" style="1" customWidth="1"/>
    <col min="23" max="23" width="10.28515625" style="1" customWidth="1"/>
    <col min="24" max="24" width="12.7109375" style="1" customWidth="1"/>
    <col min="25" max="25" width="10.28515625" style="1" customWidth="1"/>
    <col min="26" max="26" width="12.7109375" style="1" customWidth="1"/>
    <col min="27" max="27" width="4.140625" style="1" customWidth="1"/>
    <col min="28" max="28" width="10.28515625" style="1" hidden="1" customWidth="1"/>
    <col min="29" max="29" width="12.7109375" style="1" hidden="1" customWidth="1"/>
    <col min="30" max="30" width="3" style="1" customWidth="1"/>
    <col min="31" max="16384" width="10.28515625" style="1"/>
  </cols>
  <sheetData>
    <row r="1" spans="1:31" ht="18" x14ac:dyDescent="0.25">
      <c r="A1" s="695" t="s">
        <v>189</v>
      </c>
      <c r="B1" s="695"/>
      <c r="C1" s="695"/>
      <c r="D1" s="695"/>
      <c r="E1" s="695"/>
      <c r="F1" s="695"/>
      <c r="G1" s="695"/>
      <c r="H1" s="695"/>
      <c r="I1" s="848"/>
      <c r="J1" s="848"/>
      <c r="K1" s="848"/>
      <c r="L1" s="848"/>
      <c r="M1" s="848"/>
      <c r="N1" s="848"/>
      <c r="O1" s="848"/>
      <c r="P1" s="848"/>
      <c r="Q1" s="848"/>
      <c r="R1" s="848"/>
      <c r="S1" s="848"/>
      <c r="T1" s="848"/>
      <c r="U1" s="848"/>
      <c r="V1" s="848"/>
      <c r="W1" s="848"/>
      <c r="X1" s="848"/>
      <c r="Y1" s="848"/>
      <c r="Z1" s="848"/>
      <c r="AA1" s="848"/>
      <c r="AB1" s="848"/>
      <c r="AC1" s="848"/>
    </row>
    <row r="2" spans="1:31" x14ac:dyDescent="0.2">
      <c r="C2" s="1"/>
      <c r="D2" s="245"/>
      <c r="E2" s="1"/>
      <c r="F2" s="1"/>
      <c r="H2" s="245"/>
      <c r="I2" s="245"/>
      <c r="J2" s="245"/>
    </row>
    <row r="3" spans="1:31" x14ac:dyDescent="0.2">
      <c r="A3" s="3" t="s">
        <v>61</v>
      </c>
      <c r="C3" s="1"/>
      <c r="D3" s="1"/>
      <c r="E3" s="1"/>
      <c r="F3" s="1"/>
      <c r="G3" s="245"/>
      <c r="H3" s="245"/>
      <c r="I3" s="245"/>
      <c r="J3" s="245"/>
      <c r="T3" s="1010"/>
      <c r="V3" s="1010"/>
      <c r="X3" s="1010"/>
      <c r="Z3" s="1010"/>
    </row>
    <row r="4" spans="1:31" thickBot="1" x14ac:dyDescent="0.25">
      <c r="A4" s="2"/>
      <c r="C4" s="1"/>
      <c r="D4" s="1"/>
      <c r="E4" s="1"/>
      <c r="F4" s="1"/>
      <c r="G4" s="245"/>
      <c r="H4" s="245"/>
      <c r="I4" s="245"/>
      <c r="J4" s="245"/>
      <c r="AB4" s="12"/>
      <c r="AC4" s="12"/>
    </row>
    <row r="5" spans="1:31" ht="13.5" customHeight="1" thickTop="1" x14ac:dyDescent="0.2">
      <c r="B5" s="42"/>
      <c r="C5" s="8" t="s">
        <v>39</v>
      </c>
      <c r="D5" s="22"/>
      <c r="E5" s="8" t="s">
        <v>40</v>
      </c>
      <c r="F5" s="4"/>
      <c r="G5" s="276" t="s">
        <v>97</v>
      </c>
      <c r="H5" s="352"/>
      <c r="I5" s="1179" t="s">
        <v>108</v>
      </c>
      <c r="J5" s="1180"/>
      <c r="K5" s="1179" t="s">
        <v>109</v>
      </c>
      <c r="L5" s="1180"/>
      <c r="M5" s="1179" t="s">
        <v>111</v>
      </c>
      <c r="N5" s="1181"/>
      <c r="O5" s="1180" t="s">
        <v>164</v>
      </c>
      <c r="P5" s="1181"/>
      <c r="Q5" s="1180" t="s">
        <v>169</v>
      </c>
      <c r="R5" s="1181"/>
      <c r="S5" s="1180" t="s">
        <v>176</v>
      </c>
      <c r="T5" s="1181"/>
      <c r="U5" s="1180" t="s">
        <v>179</v>
      </c>
      <c r="V5" s="1181"/>
      <c r="W5" s="1180" t="s">
        <v>183</v>
      </c>
      <c r="X5" s="1181"/>
      <c r="Y5" s="1180" t="s">
        <v>187</v>
      </c>
      <c r="Z5" s="1181"/>
      <c r="AB5" s="1168" t="s">
        <v>118</v>
      </c>
      <c r="AC5" s="1219"/>
    </row>
    <row r="6" spans="1:31" ht="12" x14ac:dyDescent="0.2">
      <c r="B6" s="43"/>
      <c r="C6" s="9" t="s">
        <v>1</v>
      </c>
      <c r="D6" s="24" t="s">
        <v>2</v>
      </c>
      <c r="E6" s="9" t="s">
        <v>1</v>
      </c>
      <c r="F6" s="5" t="s">
        <v>2</v>
      </c>
      <c r="G6" s="277" t="s">
        <v>1</v>
      </c>
      <c r="H6" s="353" t="s">
        <v>2</v>
      </c>
      <c r="I6" s="348" t="s">
        <v>1</v>
      </c>
      <c r="J6" s="427" t="s">
        <v>2</v>
      </c>
      <c r="K6" s="277" t="s">
        <v>1</v>
      </c>
      <c r="L6" s="427" t="s">
        <v>2</v>
      </c>
      <c r="M6" s="277" t="s">
        <v>1</v>
      </c>
      <c r="N6" s="353" t="s">
        <v>2</v>
      </c>
      <c r="O6" s="348" t="s">
        <v>1</v>
      </c>
      <c r="P6" s="353" t="s">
        <v>2</v>
      </c>
      <c r="Q6" s="348" t="s">
        <v>1</v>
      </c>
      <c r="R6" s="353" t="s">
        <v>2</v>
      </c>
      <c r="S6" s="348" t="s">
        <v>1</v>
      </c>
      <c r="T6" s="353" t="s">
        <v>2</v>
      </c>
      <c r="U6" s="348" t="s">
        <v>1</v>
      </c>
      <c r="V6" s="353" t="s">
        <v>2</v>
      </c>
      <c r="W6" s="348" t="s">
        <v>1</v>
      </c>
      <c r="X6" s="353" t="s">
        <v>2</v>
      </c>
      <c r="Y6" s="348" t="s">
        <v>1</v>
      </c>
      <c r="Z6" s="353" t="s">
        <v>2</v>
      </c>
      <c r="AB6" s="665" t="s">
        <v>1</v>
      </c>
      <c r="AC6" s="663" t="s">
        <v>2</v>
      </c>
    </row>
    <row r="7" spans="1:31" thickBot="1" x14ac:dyDescent="0.25">
      <c r="B7" s="44"/>
      <c r="C7" s="17" t="s">
        <v>3</v>
      </c>
      <c r="D7" s="25" t="s">
        <v>4</v>
      </c>
      <c r="E7" s="17" t="s">
        <v>3</v>
      </c>
      <c r="F7" s="18" t="s">
        <v>4</v>
      </c>
      <c r="G7" s="278" t="s">
        <v>3</v>
      </c>
      <c r="H7" s="390" t="s">
        <v>4</v>
      </c>
      <c r="I7" s="260" t="s">
        <v>3</v>
      </c>
      <c r="J7" s="436" t="s">
        <v>4</v>
      </c>
      <c r="K7" s="278" t="s">
        <v>3</v>
      </c>
      <c r="L7" s="436" t="s">
        <v>4</v>
      </c>
      <c r="M7" s="278" t="s">
        <v>3</v>
      </c>
      <c r="N7" s="390" t="s">
        <v>4</v>
      </c>
      <c r="O7" s="260" t="s">
        <v>3</v>
      </c>
      <c r="P7" s="390" t="s">
        <v>4</v>
      </c>
      <c r="Q7" s="260" t="s">
        <v>3</v>
      </c>
      <c r="R7" s="390" t="s">
        <v>4</v>
      </c>
      <c r="S7" s="260" t="s">
        <v>3</v>
      </c>
      <c r="T7" s="390" t="s">
        <v>4</v>
      </c>
      <c r="U7" s="260" t="s">
        <v>3</v>
      </c>
      <c r="V7" s="390" t="s">
        <v>4</v>
      </c>
      <c r="W7" s="260" t="s">
        <v>3</v>
      </c>
      <c r="X7" s="390" t="s">
        <v>4</v>
      </c>
      <c r="Y7" s="260" t="s">
        <v>3</v>
      </c>
      <c r="Z7" s="390" t="s">
        <v>4</v>
      </c>
      <c r="AB7" s="590" t="s">
        <v>3</v>
      </c>
      <c r="AC7" s="664" t="s">
        <v>4</v>
      </c>
    </row>
    <row r="8" spans="1:31" ht="12" x14ac:dyDescent="0.2">
      <c r="B8" s="45" t="s">
        <v>5</v>
      </c>
      <c r="C8" s="13"/>
      <c r="D8" s="27"/>
      <c r="E8" s="13"/>
      <c r="F8" s="108"/>
      <c r="G8" s="279"/>
      <c r="H8" s="355"/>
      <c r="I8" s="111"/>
      <c r="J8" s="429"/>
      <c r="K8" s="279"/>
      <c r="L8" s="429"/>
      <c r="M8" s="279"/>
      <c r="N8" s="355"/>
      <c r="O8" s="111"/>
      <c r="P8" s="355"/>
      <c r="Q8" s="111"/>
      <c r="R8" s="355"/>
      <c r="S8" s="111"/>
      <c r="T8" s="355"/>
      <c r="U8" s="111"/>
      <c r="V8" s="355"/>
      <c r="W8" s="111"/>
      <c r="X8" s="355"/>
      <c r="Y8" s="111"/>
      <c r="Z8" s="355"/>
      <c r="AB8" s="19"/>
      <c r="AC8" s="583"/>
    </row>
    <row r="9" spans="1:31" ht="12" x14ac:dyDescent="0.2">
      <c r="B9" s="46"/>
      <c r="C9" s="10"/>
      <c r="D9" s="29"/>
      <c r="E9" s="10"/>
      <c r="F9" s="6"/>
      <c r="G9" s="271"/>
      <c r="H9" s="523"/>
      <c r="I9" s="346"/>
      <c r="J9" s="122"/>
      <c r="K9" s="271"/>
      <c r="L9" s="122"/>
      <c r="M9" s="271"/>
      <c r="N9" s="391"/>
      <c r="O9" s="346"/>
      <c r="P9" s="391"/>
      <c r="Q9" s="346"/>
      <c r="R9" s="391"/>
      <c r="S9" s="346"/>
      <c r="T9" s="391"/>
      <c r="U9" s="346"/>
      <c r="V9" s="391"/>
      <c r="W9" s="346"/>
      <c r="X9" s="391"/>
      <c r="Y9" s="346"/>
      <c r="Z9" s="391"/>
      <c r="AA9" s="583"/>
      <c r="AB9" s="19"/>
      <c r="AC9" s="583"/>
    </row>
    <row r="10" spans="1:31" ht="12" x14ac:dyDescent="0.2">
      <c r="B10" s="47" t="s">
        <v>154</v>
      </c>
      <c r="C10" s="531">
        <f>Dean_Bus!C30+Accounting!C11+Finance!C12+Managemt!C11+Managemt!C16+Marketing!C12+Dean_Bus!C28+Dean_Bus!C12</f>
        <v>3020</v>
      </c>
      <c r="D10" s="417">
        <f>Dean_Bus!D12+Accounting!D11+Finance!D12+Managemt!D11+Managemt!D16+Marketing!D12</f>
        <v>740</v>
      </c>
      <c r="E10" s="531">
        <f>Dean_Bus!E30+Accounting!E11+Finance!E12+Managemt!E11+Managemt!E16+Marketing!E12+Dean_Bus!E28+Dean_Bus!E12</f>
        <v>2879</v>
      </c>
      <c r="F10" s="527">
        <f>Dean_Bus!F12+Accounting!F11+Finance!F12+Managemt!F11+Managemt!F16+Marketing!F12</f>
        <v>749</v>
      </c>
      <c r="G10" s="531">
        <f>Dean_Bus!G30+Accounting!G11+Finance!G12+Managemt!G11+Managemt!G16+Marketing!G12+Dean_Bus!G28+Dean_Bus!G12</f>
        <v>2692</v>
      </c>
      <c r="H10" s="259">
        <f>Dean_Bus!H12+Accounting!H11+Finance!H12+Managemt!H11+Managemt!H16+Marketing!H12</f>
        <v>601</v>
      </c>
      <c r="I10" s="531">
        <f>Dean_Bus!I30+Accounting!I11+Finance!I12+Managemt!I11+Managemt!I16+Marketing!I12+Dean_Bus!I28+Dean_Bus!I12</f>
        <v>2776</v>
      </c>
      <c r="J10" s="452">
        <f>Dean_Bus!J12+Accounting!J11+Finance!J12+Managemt!J11+Managemt!J16+Marketing!J12</f>
        <v>641</v>
      </c>
      <c r="K10" s="531">
        <f>Dean_Bus!K30+Accounting!K11+Finance!K12+Managemt!K11+Managemt!K16+Marketing!K12+Dean_Bus!K28+Dean_Bus!K12</f>
        <v>2799</v>
      </c>
      <c r="L10" s="452">
        <f>Dean_Bus!L12+Accounting!L11+Finance!L12+Managemt!L11+Marketing!L12+Managemt!L16</f>
        <v>656</v>
      </c>
      <c r="M10" s="531">
        <f>Dean_Bus!M30+Accounting!M11+Finance!M12+Managemt!M11+Managemt!M16+Marketing!M12+Dean_Bus!M28+Dean_Bus!M12</f>
        <v>2737</v>
      </c>
      <c r="N10" s="417">
        <f>Dean_Bus!N12+Accounting!N11+Finance!N12+Managemt!N11+Marketing!N12+Managemt!N16</f>
        <v>540</v>
      </c>
      <c r="O10" s="849">
        <f>Dean_Bus!O30+Accounting!O11+Finance!O12+Managemt!O11+Managemt!O16+Marketing!O12+Dean_Bus!O28+Dean_Bus!O12+Managemt!O13</f>
        <v>2706</v>
      </c>
      <c r="P10" s="417">
        <f>Dean_Bus!P12+Accounting!P11+Finance!P12+Managemt!P11+Marketing!P12+Managemt!P16+Managemt!P13</f>
        <v>608</v>
      </c>
      <c r="Q10" s="849">
        <f>Dean_Bus!Q30+Accounting!Q11+Finance!Q12+Managemt!Q11+Managemt!Q16+Marketing!Q12+Dean_Bus!Q28+Dean_Bus!Q12+Managemt!Q13</f>
        <v>2694</v>
      </c>
      <c r="R10" s="417">
        <f>Dean_Bus!R12+Managemt!R13+Accounting!R11+Finance!R12+Managemt!R11+Managemt!R16+Marketing!R12</f>
        <v>548</v>
      </c>
      <c r="S10" s="849">
        <f>Dean_Bus!S30+Accounting!S11+Finance!S12+Managemt!S11+Managemt!S16+Marketing!S12+Dean_Bus!S28+Dean_Bus!S12+Managemt!S13</f>
        <v>2772</v>
      </c>
      <c r="T10" s="417">
        <f>Dean_Bus!T12+Managemt!T13+Accounting!T11+Finance!T12+Managemt!T11+Managemt!T16+Marketing!T12</f>
        <v>577</v>
      </c>
      <c r="U10" s="849">
        <f>Dean_Bus!U30+Accounting!U11+Finance!U12+Managemt!U11+Managemt!U16+Marketing!U12+Dean_Bus!U28+Dean_Bus!U12+Managemt!U13</f>
        <v>2810</v>
      </c>
      <c r="V10" s="417">
        <f>Dean_Bus!V12+Managemt!V13+Accounting!V11+Finance!V12+Managemt!V11+Managemt!V16+Marketing!V12</f>
        <v>581</v>
      </c>
      <c r="W10" s="849">
        <f>SUM(Dean_Bus!W30,Accounting!W11,Finance!W12,Managemt!W11,Managemt!W16,Marketing!W12,Dean_Bus!W28,Dean_Bus!W12,Managemt!W13)</f>
        <v>2901</v>
      </c>
      <c r="X10" s="417">
        <f>Dean_Bus!X12+Managemt!X13+Accounting!X11+Finance!X12+Managemt!X11+Managemt!X16+Marketing!X12</f>
        <v>619</v>
      </c>
      <c r="Y10" s="849">
        <f>SUM(Dean_Bus!Y30,Accounting!Y11,Finance!Y12,Managemt!Y11,Managemt!Y16,Marketing!Y12,Dean_Bus!Y28,Dean_Bus!Y12,Managemt!Y13)</f>
        <v>3003</v>
      </c>
      <c r="Z10" s="1041"/>
      <c r="AA10" s="583"/>
      <c r="AB10" s="673">
        <f>AVERAGE(W10,U10,S10,Q10,Y10)</f>
        <v>2836</v>
      </c>
      <c r="AC10" s="674">
        <f t="shared" ref="AC10:AC15" si="0">AVERAGE(X10,V10,T10,R10,Z10)</f>
        <v>581.25</v>
      </c>
    </row>
    <row r="11" spans="1:31" ht="13.5" hidden="1" x14ac:dyDescent="0.2">
      <c r="B11" s="47" t="s">
        <v>101</v>
      </c>
      <c r="C11" s="345">
        <f>Managemt!C18</f>
        <v>9</v>
      </c>
      <c r="D11" s="302" t="s">
        <v>99</v>
      </c>
      <c r="E11" s="345">
        <f>Managemt!E18</f>
        <v>6</v>
      </c>
      <c r="F11" s="302" t="s">
        <v>99</v>
      </c>
      <c r="G11" s="345">
        <f>Managemt!G18</f>
        <v>3</v>
      </c>
      <c r="H11" s="524" t="s">
        <v>99</v>
      </c>
      <c r="I11" s="410">
        <f>Managemt!I18</f>
        <v>2</v>
      </c>
      <c r="J11" s="453" t="s">
        <v>99</v>
      </c>
      <c r="K11" s="345">
        <f>Managemt!K18</f>
        <v>0</v>
      </c>
      <c r="L11" s="453" t="s">
        <v>99</v>
      </c>
      <c r="M11" s="345">
        <f>Managemt!M18</f>
        <v>0</v>
      </c>
      <c r="N11" s="850" t="s">
        <v>99</v>
      </c>
      <c r="O11" s="410">
        <f>Managemt!O18</f>
        <v>0</v>
      </c>
      <c r="P11" s="850" t="s">
        <v>99</v>
      </c>
      <c r="Q11" s="410">
        <f>Managemt!Q18</f>
        <v>0</v>
      </c>
      <c r="R11" s="850"/>
      <c r="S11" s="410">
        <f>Managemt!S18</f>
        <v>0</v>
      </c>
      <c r="T11" s="850"/>
      <c r="U11" s="410">
        <f>Managemt!U18</f>
        <v>0</v>
      </c>
      <c r="V11" s="850"/>
      <c r="W11" s="410">
        <f>Managemt!W18</f>
        <v>0</v>
      </c>
      <c r="X11" s="850"/>
      <c r="Y11" s="410">
        <f>Managemt!Y18</f>
        <v>0</v>
      </c>
      <c r="Z11" s="1042"/>
      <c r="AA11" s="583"/>
      <c r="AB11" s="673">
        <f>AVERAGE(M11,K11,I11,G11,O11)</f>
        <v>1</v>
      </c>
      <c r="AC11" s="674" t="e">
        <f t="shared" si="0"/>
        <v>#DIV/0!</v>
      </c>
    </row>
    <row r="12" spans="1:31" ht="12" x14ac:dyDescent="0.2">
      <c r="B12" s="47" t="s">
        <v>155</v>
      </c>
      <c r="C12" s="526">
        <f>Dean_Bus!C13</f>
        <v>272</v>
      </c>
      <c r="D12" s="118">
        <f>Dean_Bus!D13</f>
        <v>148</v>
      </c>
      <c r="E12" s="526">
        <f>Dean_Bus!E13</f>
        <v>280</v>
      </c>
      <c r="F12" s="527">
        <f>Dean_Bus!F13</f>
        <v>149</v>
      </c>
      <c r="G12" s="526">
        <f>Dean_Bus!G13</f>
        <v>299</v>
      </c>
      <c r="H12" s="417">
        <f>Dean_Bus!H13</f>
        <v>179</v>
      </c>
      <c r="I12" s="528">
        <f>Dean_Bus!I13</f>
        <v>284</v>
      </c>
      <c r="J12" s="452">
        <f>Dean_Bus!J13</f>
        <v>161</v>
      </c>
      <c r="K12" s="526">
        <f>Dean_Bus!K13</f>
        <v>287</v>
      </c>
      <c r="L12" s="452">
        <f>Dean_Bus!L13</f>
        <v>143</v>
      </c>
      <c r="M12" s="526">
        <f>Dean_Bus!M13</f>
        <v>283</v>
      </c>
      <c r="N12" s="417">
        <f>Dean_Bus!N13</f>
        <v>164</v>
      </c>
      <c r="O12" s="849">
        <f>Dean_Bus!O13</f>
        <v>259</v>
      </c>
      <c r="P12" s="417">
        <f>Dean_Bus!P13</f>
        <v>139</v>
      </c>
      <c r="Q12" s="849">
        <f>Dean_Bus!Q13</f>
        <v>269</v>
      </c>
      <c r="R12" s="417">
        <f>Dean_Bus!R13</f>
        <v>143</v>
      </c>
      <c r="S12" s="849">
        <f>Dean_Bus!S13</f>
        <v>330</v>
      </c>
      <c r="T12" s="417">
        <f>Dean_Bus!T13</f>
        <v>189</v>
      </c>
      <c r="U12" s="849">
        <f>Dean_Bus!U13</f>
        <v>359</v>
      </c>
      <c r="V12" s="417">
        <f>Dean_Bus!V13</f>
        <v>190</v>
      </c>
      <c r="W12" s="849">
        <f>Dean_Bus!W13+Managemt!W14</f>
        <v>456</v>
      </c>
      <c r="X12" s="417">
        <f>Dean_Bus!X13+Managemt!X14</f>
        <v>203</v>
      </c>
      <c r="Y12" s="849">
        <f>Dean_Bus!Y13+Managemt!Y14</f>
        <v>442</v>
      </c>
      <c r="Z12" s="1041"/>
      <c r="AA12" s="583"/>
      <c r="AB12" s="673">
        <f t="shared" ref="AB12:AB15" si="1">AVERAGE(W12,U12,S12,Q12,Y12)</f>
        <v>371.2</v>
      </c>
      <c r="AC12" s="674">
        <f t="shared" si="0"/>
        <v>181.25</v>
      </c>
    </row>
    <row r="13" spans="1:31" ht="12" x14ac:dyDescent="0.2">
      <c r="B13" s="47" t="s">
        <v>91</v>
      </c>
      <c r="C13" s="526">
        <f>Dean_Bus!C20</f>
        <v>48</v>
      </c>
      <c r="D13" s="527">
        <f>Dean_Bus!D20</f>
        <v>5</v>
      </c>
      <c r="E13" s="526">
        <f>Dean_Bus!E20</f>
        <v>74</v>
      </c>
      <c r="F13" s="527">
        <f>Dean_Bus!F20</f>
        <v>19</v>
      </c>
      <c r="G13" s="526">
        <f>Dean_Bus!G20</f>
        <v>72</v>
      </c>
      <c r="H13" s="417">
        <f>Dean_Bus!H20</f>
        <v>23</v>
      </c>
      <c r="I13" s="528">
        <f>Dean_Bus!I20</f>
        <v>61</v>
      </c>
      <c r="J13" s="452">
        <f>Dean_Bus!J20</f>
        <v>18</v>
      </c>
      <c r="K13" s="526">
        <f>Dean_Bus!K20</f>
        <v>62</v>
      </c>
      <c r="L13" s="452">
        <f>Dean_Bus!L20</f>
        <v>23</v>
      </c>
      <c r="M13" s="526">
        <f>Dean_Bus!M20</f>
        <v>51</v>
      </c>
      <c r="N13" s="417">
        <f>Dean_Bus!N20</f>
        <v>12</v>
      </c>
      <c r="O13" s="849">
        <f>Dean_Bus!O20+Dean_Bus!O22</f>
        <v>57</v>
      </c>
      <c r="P13" s="417">
        <f>Dean_Bus!P20</f>
        <v>22</v>
      </c>
      <c r="Q13" s="849">
        <f>Dean_Bus!Q20+Dean_Bus!Q22</f>
        <v>51</v>
      </c>
      <c r="R13" s="417">
        <f>Dean_Bus!R20+Dean_Bus!R22</f>
        <v>15</v>
      </c>
      <c r="S13" s="849">
        <f>Dean_Bus!S20+Dean_Bus!S22</f>
        <v>63</v>
      </c>
      <c r="T13" s="417">
        <f>Dean_Bus!T20+Dean_Bus!T22+Marketing!T14</f>
        <v>23</v>
      </c>
      <c r="U13" s="849">
        <f>Dean_Bus!U20+Dean_Bus!U22+Marketing!U14</f>
        <v>61</v>
      </c>
      <c r="V13" s="417">
        <f>Dean_Bus!V20+Dean_Bus!V22+Marketing!V14</f>
        <v>24</v>
      </c>
      <c r="W13" s="849">
        <f>Dean_Bus!W20+Dean_Bus!W22+Marketing!W14</f>
        <v>60</v>
      </c>
      <c r="X13" s="417">
        <f>Dean_Bus!X20+Dean_Bus!X22+Marketing!X14</f>
        <v>29</v>
      </c>
      <c r="Y13" s="849">
        <f>Dean_Bus!Y20+Dean_Bus!Y22+Marketing!Y14</f>
        <v>94</v>
      </c>
      <c r="Z13" s="1041"/>
      <c r="AA13" s="583"/>
      <c r="AB13" s="673">
        <f t="shared" si="1"/>
        <v>65.8</v>
      </c>
      <c r="AC13" s="674">
        <f t="shared" si="0"/>
        <v>22.75</v>
      </c>
      <c r="AE13" s="1" t="s">
        <v>26</v>
      </c>
    </row>
    <row r="14" spans="1:31" ht="12" x14ac:dyDescent="0.2">
      <c r="B14" s="47" t="s">
        <v>156</v>
      </c>
      <c r="C14" s="529">
        <f>+Dean_Bus!C16+Accounting!C12</f>
        <v>137</v>
      </c>
      <c r="D14" s="118">
        <f>+Dean_Bus!D16+Accounting!D12</f>
        <v>51</v>
      </c>
      <c r="E14" s="529">
        <f>+Dean_Bus!E16+Accounting!E12</f>
        <v>143</v>
      </c>
      <c r="F14" s="527">
        <f>Dean_Bus!F16+Accounting!F12</f>
        <v>82</v>
      </c>
      <c r="G14" s="529">
        <f>+Dean_Bus!G16+Accounting!G12</f>
        <v>121</v>
      </c>
      <c r="H14" s="417">
        <f>Dean_Bus!H16+Accounting!H12</f>
        <v>79</v>
      </c>
      <c r="I14" s="137">
        <f>+Dean_Bus!I16+Accounting!I12</f>
        <v>134</v>
      </c>
      <c r="J14" s="452">
        <f>Dean_Bus!J16+Accounting!J12</f>
        <v>75</v>
      </c>
      <c r="K14" s="529">
        <f>+Dean_Bus!K16+Accounting!K12</f>
        <v>134</v>
      </c>
      <c r="L14" s="452">
        <f>Dean_Bus!L16+Accounting!L12</f>
        <v>79</v>
      </c>
      <c r="M14" s="529">
        <f>+Dean_Bus!M16+Accounting!M12+Dean_Bus!M32</f>
        <v>122</v>
      </c>
      <c r="N14" s="417">
        <f>Dean_Bus!N16+Accounting!N12</f>
        <v>70</v>
      </c>
      <c r="O14" s="404">
        <f>+Dean_Bus!O16+Accounting!O12+Dean_Bus!O32</f>
        <v>103</v>
      </c>
      <c r="P14" s="417">
        <f>Dean_Bus!P16+Accounting!P12</f>
        <v>61</v>
      </c>
      <c r="Q14" s="404">
        <f>+Dean_Bus!Q16+Accounting!Q12+Dean_Bus!Q32</f>
        <v>124</v>
      </c>
      <c r="R14" s="417">
        <f>Dean_Bus!R16+Accounting!R12</f>
        <v>73</v>
      </c>
      <c r="S14" s="404">
        <f>+Dean_Bus!S16+Accounting!S12+Dean_Bus!S32</f>
        <v>112</v>
      </c>
      <c r="T14" s="417">
        <f>Dean_Bus!T16+Accounting!T12</f>
        <v>62</v>
      </c>
      <c r="U14" s="404">
        <f>+Dean_Bus!U16+Accounting!U12+Dean_Bus!U32</f>
        <v>127</v>
      </c>
      <c r="V14" s="417">
        <f>Dean_Bus!V16+Accounting!V12</f>
        <v>72</v>
      </c>
      <c r="W14" s="404">
        <f>+Dean_Bus!W16+Accounting!W12+Dean_Bus!W32</f>
        <v>119</v>
      </c>
      <c r="X14" s="417">
        <f>Dean_Bus!X16+Accounting!X12</f>
        <v>71</v>
      </c>
      <c r="Y14" s="404">
        <f>+Dean_Bus!Y16+Accounting!Y12+Dean_Bus!Y32</f>
        <v>119</v>
      </c>
      <c r="Z14" s="1041"/>
      <c r="AA14" s="583"/>
      <c r="AB14" s="673">
        <f t="shared" si="1"/>
        <v>120.2</v>
      </c>
      <c r="AC14" s="674">
        <f t="shared" si="0"/>
        <v>69.5</v>
      </c>
      <c r="AE14" s="1" t="s">
        <v>26</v>
      </c>
    </row>
    <row r="15" spans="1:31" thickBot="1" x14ac:dyDescent="0.25">
      <c r="B15" s="48" t="s">
        <v>72</v>
      </c>
      <c r="C15" s="522">
        <f>Dean_Bus!C14</f>
        <v>0</v>
      </c>
      <c r="D15" s="530">
        <f>Dean_Bus!D14</f>
        <v>2</v>
      </c>
      <c r="E15" s="89">
        <f>Dean_Bus!E14</f>
        <v>0</v>
      </c>
      <c r="F15" s="89">
        <f>Dean_Bus!F14</f>
        <v>0</v>
      </c>
      <c r="G15" s="321">
        <f>Dean_Bus!G14</f>
        <v>0</v>
      </c>
      <c r="H15" s="525">
        <f>Dean_Bus!H14</f>
        <v>1</v>
      </c>
      <c r="I15" s="210">
        <f>Dean_Bus!I14</f>
        <v>2</v>
      </c>
      <c r="J15" s="454">
        <f>Dean_Bus!J14</f>
        <v>1</v>
      </c>
      <c r="K15" s="321">
        <f>Dean_Bus!K14+1</f>
        <v>9</v>
      </c>
      <c r="L15" s="454">
        <f>Dean_Bus!L14</f>
        <v>0</v>
      </c>
      <c r="M15" s="321">
        <f>Dean_Bus!M14+4</f>
        <v>8</v>
      </c>
      <c r="N15" s="454">
        <f>Dean_Bus!N14+Dean_Bus!N24</f>
        <v>6</v>
      </c>
      <c r="O15" s="321">
        <f>Dean_Bus!O14+Dean_Bus!O24</f>
        <v>16</v>
      </c>
      <c r="P15" s="454">
        <f>Dean_Bus!P14+Dean_Bus!P24</f>
        <v>6</v>
      </c>
      <c r="Q15" s="321">
        <f>Dean_Bus!Q14+Dean_Bus!Q24+Dean_Bus!Q26+Dean_Bus!Q32</f>
        <v>15</v>
      </c>
      <c r="R15" s="525">
        <f>Dean_Bus!R24+Dean_Bus!R26+Dean_Bus!R14</f>
        <v>1</v>
      </c>
      <c r="S15" s="321">
        <f>Dean_Bus!S14+Dean_Bus!S24+Dean_Bus!S26</f>
        <v>18</v>
      </c>
      <c r="T15" s="525">
        <f>Dean_Bus!T24+Dean_Bus!T26+Dean_Bus!T14</f>
        <v>6</v>
      </c>
      <c r="U15" s="321">
        <f>Dean_Bus!U14+Dean_Bus!U24+Dean_Bus!U26</f>
        <v>21</v>
      </c>
      <c r="V15" s="525">
        <f>Dean_Bus!V24+Dean_Bus!V26+Dean_Bus!V14</f>
        <v>0</v>
      </c>
      <c r="W15" s="321">
        <f>Dean_Bus!W14+Dean_Bus!W24+Dean_Bus!W26</f>
        <v>14</v>
      </c>
      <c r="X15" s="525">
        <f>Dean_Bus!X24+Dean_Bus!X26+Dean_Bus!X14</f>
        <v>5</v>
      </c>
      <c r="Y15" s="321">
        <f>Dean_Bus!Y14+Dean_Bus!Y24+Dean_Bus!Y26</f>
        <v>21</v>
      </c>
      <c r="Z15" s="1043"/>
      <c r="AA15" s="583"/>
      <c r="AB15" s="759">
        <f t="shared" si="1"/>
        <v>17.8</v>
      </c>
      <c r="AC15" s="810">
        <f t="shared" si="0"/>
        <v>3</v>
      </c>
    </row>
    <row r="16" spans="1:31" thickTop="1" x14ac:dyDescent="0.2">
      <c r="B16" s="133" t="s">
        <v>110</v>
      </c>
      <c r="C16" s="59"/>
      <c r="D16" s="120"/>
      <c r="E16" s="59"/>
      <c r="F16" s="120"/>
      <c r="G16" s="253"/>
      <c r="H16" s="272"/>
      <c r="I16" s="253"/>
      <c r="J16" s="272"/>
      <c r="K16" s="253"/>
      <c r="L16" s="272"/>
      <c r="M16" s="253"/>
      <c r="N16" s="272"/>
      <c r="O16" s="846"/>
      <c r="P16" s="272"/>
      <c r="Q16" s="846"/>
      <c r="R16" s="272"/>
      <c r="S16" s="846"/>
      <c r="T16" s="272"/>
      <c r="U16" s="846"/>
      <c r="V16" s="272"/>
      <c r="W16" s="846"/>
      <c r="X16" s="272"/>
      <c r="Y16" s="846"/>
      <c r="Z16" s="272"/>
    </row>
    <row r="17" spans="1:30" ht="12" hidden="1" x14ac:dyDescent="0.2">
      <c r="B17" s="304" t="s">
        <v>102</v>
      </c>
      <c r="C17" s="59"/>
      <c r="D17" s="120"/>
      <c r="E17" s="59"/>
      <c r="F17" s="120"/>
      <c r="G17" s="253"/>
      <c r="H17" s="272"/>
      <c r="I17" s="253"/>
      <c r="J17" s="272"/>
      <c r="K17" s="253"/>
      <c r="L17" s="272"/>
      <c r="M17" s="253"/>
      <c r="N17" s="272"/>
      <c r="O17" s="253"/>
      <c r="P17" s="272"/>
      <c r="Q17" s="253"/>
      <c r="R17" s="272"/>
      <c r="S17" s="253"/>
      <c r="T17" s="272"/>
      <c r="U17" s="253"/>
      <c r="V17" s="272"/>
      <c r="W17" s="253"/>
      <c r="X17" s="272"/>
      <c r="Y17" s="253"/>
      <c r="Z17" s="272"/>
    </row>
    <row r="18" spans="1:30" ht="9.75" customHeight="1" thickBot="1" x14ac:dyDescent="0.25">
      <c r="C18" s="1"/>
      <c r="D18" s="1"/>
      <c r="E18" s="1"/>
      <c r="F18" s="1"/>
      <c r="G18" s="301"/>
      <c r="H18" s="301"/>
      <c r="I18" s="301"/>
      <c r="J18" s="301"/>
      <c r="K18" s="301"/>
      <c r="L18" s="301"/>
      <c r="M18" s="301"/>
      <c r="N18" s="301"/>
      <c r="O18" s="301"/>
      <c r="P18" s="301"/>
      <c r="Q18" s="301"/>
      <c r="R18" s="301"/>
      <c r="S18" s="301"/>
      <c r="T18" s="301"/>
      <c r="U18" s="301"/>
      <c r="V18" s="301"/>
      <c r="W18" s="301"/>
      <c r="X18" s="301"/>
      <c r="Y18" s="301"/>
      <c r="Z18" s="301"/>
      <c r="AB18" s="12"/>
      <c r="AC18" s="12"/>
    </row>
    <row r="19" spans="1:30" ht="13.5" thickTop="1" thickBot="1" x14ac:dyDescent="0.25">
      <c r="B19" s="866"/>
      <c r="C19" s="1151" t="s">
        <v>39</v>
      </c>
      <c r="D19" s="1152"/>
      <c r="E19" s="1153" t="s">
        <v>40</v>
      </c>
      <c r="F19" s="1153"/>
      <c r="G19" s="1150" t="s">
        <v>97</v>
      </c>
      <c r="H19" s="1134"/>
      <c r="I19" s="1179" t="s">
        <v>108</v>
      </c>
      <c r="J19" s="1180"/>
      <c r="K19" s="1179" t="s">
        <v>109</v>
      </c>
      <c r="L19" s="1180"/>
      <c r="M19" s="1179" t="s">
        <v>111</v>
      </c>
      <c r="N19" s="1181"/>
      <c r="O19" s="1180" t="s">
        <v>164</v>
      </c>
      <c r="P19" s="1181"/>
      <c r="Q19" s="1180" t="s">
        <v>169</v>
      </c>
      <c r="R19" s="1181"/>
      <c r="S19" s="1180" t="s">
        <v>176</v>
      </c>
      <c r="T19" s="1181"/>
      <c r="U19" s="1180" t="s">
        <v>179</v>
      </c>
      <c r="V19" s="1181"/>
      <c r="W19" s="1180" t="s">
        <v>183</v>
      </c>
      <c r="X19" s="1181"/>
      <c r="Y19" s="1180" t="s">
        <v>187</v>
      </c>
      <c r="Z19" s="1181"/>
      <c r="AB19" s="1220" t="s">
        <v>118</v>
      </c>
      <c r="AC19" s="1221"/>
    </row>
    <row r="20" spans="1:30" ht="12" x14ac:dyDescent="0.2">
      <c r="B20" s="45" t="s">
        <v>6</v>
      </c>
      <c r="C20" s="149"/>
      <c r="D20" s="150"/>
      <c r="E20" s="33"/>
      <c r="F20" s="33"/>
      <c r="G20" s="285"/>
      <c r="H20" s="374"/>
      <c r="I20" s="366"/>
      <c r="J20" s="366"/>
      <c r="K20" s="285"/>
      <c r="L20" s="366"/>
      <c r="M20" s="285"/>
      <c r="N20" s="374"/>
      <c r="O20" s="366"/>
      <c r="P20" s="374"/>
      <c r="Q20" s="366"/>
      <c r="R20" s="374"/>
      <c r="S20" s="366"/>
      <c r="T20" s="374"/>
      <c r="U20" s="366"/>
      <c r="V20" s="374"/>
      <c r="W20" s="366"/>
      <c r="X20" s="374"/>
      <c r="Y20" s="366"/>
      <c r="Z20" s="374"/>
      <c r="AA20" s="583"/>
      <c r="AB20" s="733"/>
      <c r="AC20" s="734"/>
    </row>
    <row r="21" spans="1:30" ht="12" x14ac:dyDescent="0.2">
      <c r="B21" s="49" t="s">
        <v>7</v>
      </c>
      <c r="C21" s="151"/>
      <c r="D21" s="152"/>
      <c r="E21" s="34"/>
      <c r="F21" s="254"/>
      <c r="G21" s="281"/>
      <c r="H21" s="361"/>
      <c r="I21" s="254"/>
      <c r="J21" s="254"/>
      <c r="K21" s="281"/>
      <c r="L21" s="254"/>
      <c r="M21" s="281"/>
      <c r="N21" s="361"/>
      <c r="O21" s="254"/>
      <c r="P21" s="361"/>
      <c r="Q21" s="254"/>
      <c r="R21" s="361"/>
      <c r="S21" s="254"/>
      <c r="T21" s="361"/>
      <c r="U21" s="254"/>
      <c r="V21" s="361"/>
      <c r="W21" s="254"/>
      <c r="X21" s="361"/>
      <c r="Y21" s="254"/>
      <c r="Z21" s="361"/>
      <c r="AA21" s="583"/>
      <c r="AC21" s="583"/>
    </row>
    <row r="22" spans="1:30" ht="12" x14ac:dyDescent="0.2">
      <c r="B22" s="49" t="s">
        <v>8</v>
      </c>
      <c r="C22" s="151"/>
      <c r="D22" s="153">
        <f>+Dean_Bus!D38+Accounting!D18+Finance!D18+Managemt!D26+Marketing!D20</f>
        <v>6577</v>
      </c>
      <c r="E22" s="34"/>
      <c r="F22" s="259">
        <f>+Dean_Bus!F38+Accounting!F18+Finance!F18+Managemt!F26+Marketing!F20</f>
        <v>6819</v>
      </c>
      <c r="G22" s="281"/>
      <c r="H22" s="383">
        <f>+Dean_Bus!H38+Accounting!H18+Finance!H18+Managemt!H26+Marketing!H20</f>
        <v>7857</v>
      </c>
      <c r="I22" s="254"/>
      <c r="J22" s="259">
        <f>+Dean_Bus!J38+Accounting!J18+Finance!J18+Managemt!J26+Marketing!J20</f>
        <v>8097</v>
      </c>
      <c r="K22" s="281"/>
      <c r="L22" s="259">
        <f>+Dean_Bus!L38+Accounting!L18+Finance!L18+Managemt!L26+Marketing!L20</f>
        <v>8132</v>
      </c>
      <c r="M22" s="281"/>
      <c r="N22" s="383">
        <f>+Dean_Bus!N38+Accounting!N18+Finance!N18+Managemt!N26+Marketing!N20</f>
        <v>7973</v>
      </c>
      <c r="O22" s="254"/>
      <c r="P22" s="383">
        <f>+Dean_Bus!P38+Accounting!P18+Finance!P18+Managemt!P26+Marketing!P20</f>
        <v>7959</v>
      </c>
      <c r="Q22" s="254"/>
      <c r="R22" s="383">
        <f>+Dean_Bus!R38+Accounting!R18+Finance!R18+Managemt!R26+Marketing!R20</f>
        <v>8154</v>
      </c>
      <c r="S22" s="254"/>
      <c r="T22" s="383">
        <f>+Dean_Bus!T38+Accounting!T18+Finance!T18+Managemt!T26+Marketing!T20</f>
        <v>10452</v>
      </c>
      <c r="U22" s="254"/>
      <c r="V22" s="383">
        <f>+Dean_Bus!V38+Accounting!V18+Finance!V18+Managemt!V26+Marketing!V20</f>
        <v>11261</v>
      </c>
      <c r="W22" s="254"/>
      <c r="X22" s="383">
        <f>+Dean_Bus!X38+Accounting!X18+Finance!X18+Managemt!X26+Marketing!X20</f>
        <v>11443</v>
      </c>
      <c r="Y22" s="254"/>
      <c r="Z22" s="1110">
        <f>+Dean_Bus!Z38+Accounting!Z18+Finance!Z18+Managemt!Z26+Marketing!Z20</f>
        <v>0</v>
      </c>
      <c r="AA22" s="583"/>
      <c r="AB22" s="33"/>
      <c r="AC22" s="676">
        <f t="shared" ref="AC22:AC26" si="2">AVERAGE(X22,V22,T22,R22,Z22)</f>
        <v>8262</v>
      </c>
    </row>
    <row r="23" spans="1:30" ht="12" x14ac:dyDescent="0.2">
      <c r="B23" s="49" t="s">
        <v>9</v>
      </c>
      <c r="C23" s="151"/>
      <c r="D23" s="153">
        <f>+Dean_Bus!D39+Accounting!D19+Finance!D19+Managemt!D27+Marketing!D21</f>
        <v>36696</v>
      </c>
      <c r="E23" s="34"/>
      <c r="F23" s="259">
        <f>+Dean_Bus!F39+Accounting!F19+Finance!F19+Managemt!F27+Marketing!F21</f>
        <v>35543</v>
      </c>
      <c r="G23" s="281"/>
      <c r="H23" s="383">
        <f>+Dean_Bus!H39+Accounting!H19+Finance!H19+Managemt!H27+Marketing!H21</f>
        <v>35270</v>
      </c>
      <c r="I23" s="254"/>
      <c r="J23" s="259">
        <f>+Dean_Bus!J39+Accounting!J19+Finance!J19+Managemt!J27+Marketing!J21</f>
        <v>36453</v>
      </c>
      <c r="K23" s="281"/>
      <c r="L23" s="259">
        <f>+Dean_Bus!L39+Accounting!L19+Finance!L19+Managemt!L27+Marketing!L21</f>
        <v>36856</v>
      </c>
      <c r="M23" s="281"/>
      <c r="N23" s="383">
        <f>+Dean_Bus!N39+Accounting!N19+Finance!N19+Managemt!N27+Marketing!N21</f>
        <v>36385</v>
      </c>
      <c r="O23" s="254"/>
      <c r="P23" s="383">
        <f>+Dean_Bus!P39+Accounting!P19+Finance!P19+Managemt!P27+Marketing!P21</f>
        <v>35816</v>
      </c>
      <c r="Q23" s="254"/>
      <c r="R23" s="383">
        <f>+Dean_Bus!R39+Accounting!R19+Finance!R19+Managemt!R27+Marketing!R21</f>
        <v>35546</v>
      </c>
      <c r="S23" s="254"/>
      <c r="T23" s="383">
        <f>+Dean_Bus!T39+Accounting!T19+Finance!T19+Managemt!T27+Marketing!T21</f>
        <v>40642</v>
      </c>
      <c r="U23" s="254"/>
      <c r="V23" s="383">
        <f>+Dean_Bus!V39+Accounting!V19+Finance!V19+Managemt!V27+Marketing!V21</f>
        <v>42112</v>
      </c>
      <c r="W23" s="254"/>
      <c r="X23" s="383">
        <f>+Dean_Bus!X39+Accounting!X19+Finance!X19+Managemt!X27+Marketing!X21</f>
        <v>42206</v>
      </c>
      <c r="Y23" s="254"/>
      <c r="Z23" s="1110">
        <f>+Dean_Bus!Z39+Accounting!Z19+Finance!Z19+Managemt!Z27+Marketing!Z21</f>
        <v>0</v>
      </c>
      <c r="AB23" s="677"/>
      <c r="AC23" s="676">
        <f t="shared" si="2"/>
        <v>32101.200000000001</v>
      </c>
    </row>
    <row r="24" spans="1:30" ht="12" x14ac:dyDescent="0.2">
      <c r="B24" s="49" t="s">
        <v>10</v>
      </c>
      <c r="C24" s="151"/>
      <c r="D24" s="153">
        <f>+Dean_Bus!D40+Accounting!D20+Finance!D20+Managemt!D28+Marketing!D22</f>
        <v>2134</v>
      </c>
      <c r="E24" s="34"/>
      <c r="F24" s="117">
        <f>+Dean_Bus!F40+Accounting!F20+Finance!F20+Managemt!F28+Marketing!F22</f>
        <v>2208</v>
      </c>
      <c r="G24" s="281"/>
      <c r="H24" s="383">
        <f>+Dean_Bus!H40+Accounting!H20+Finance!H20+Managemt!H28+Marketing!H22</f>
        <v>2433</v>
      </c>
      <c r="I24" s="254"/>
      <c r="J24" s="259">
        <f>+Dean_Bus!J40+Accounting!J20+Finance!J20+Managemt!J28+Marketing!J22</f>
        <v>2443</v>
      </c>
      <c r="K24" s="281"/>
      <c r="L24" s="259">
        <f>+Dean_Bus!L40+Accounting!L20+Finance!L20+Managemt!L28+Marketing!L22</f>
        <v>2704</v>
      </c>
      <c r="M24" s="281"/>
      <c r="N24" s="383">
        <f>+Dean_Bus!N40+Accounting!N20+Finance!N20+Managemt!N28+Marketing!N22</f>
        <v>2363</v>
      </c>
      <c r="O24" s="254"/>
      <c r="P24" s="383">
        <f>+Dean_Bus!P40+Accounting!P20+Finance!P20+Managemt!P28+Marketing!P22</f>
        <v>2329</v>
      </c>
      <c r="Q24" s="254"/>
      <c r="R24" s="383">
        <f>+Dean_Bus!R40+Accounting!R20+Finance!R20+Managemt!R28+Marketing!R22</f>
        <v>2555</v>
      </c>
      <c r="S24" s="254"/>
      <c r="T24" s="383">
        <f>+Dean_Bus!T40+Accounting!T20+Finance!T20+Managemt!T28+Marketing!T22</f>
        <v>2436</v>
      </c>
      <c r="U24" s="254"/>
      <c r="V24" s="383">
        <f>+Dean_Bus!V40+Accounting!V20+Finance!V20+Managemt!V28+Marketing!V22</f>
        <v>2685</v>
      </c>
      <c r="W24" s="254"/>
      <c r="X24" s="383">
        <f>+Dean_Bus!X40+Accounting!X20+Finance!X20+Managemt!X28+Marketing!X22</f>
        <v>2516</v>
      </c>
      <c r="Y24" s="254"/>
      <c r="Z24" s="1110">
        <f>+Dean_Bus!Z40+Accounting!Z20+Finance!Z20+Managemt!Z28+Marketing!Z22</f>
        <v>0</v>
      </c>
      <c r="AB24" s="677"/>
      <c r="AC24" s="676">
        <f t="shared" si="2"/>
        <v>2038.4</v>
      </c>
    </row>
    <row r="25" spans="1:30" ht="12" x14ac:dyDescent="0.2">
      <c r="B25" s="49" t="s">
        <v>11</v>
      </c>
      <c r="C25" s="151"/>
      <c r="D25" s="153">
        <v>0</v>
      </c>
      <c r="E25" s="34"/>
      <c r="F25" s="53">
        <v>0</v>
      </c>
      <c r="G25" s="281"/>
      <c r="H25" s="363">
        <f>Marketing!H23+Managemt!H29+Finance!H21+Accounting!H21+Dean_Bus!H41</f>
        <v>0</v>
      </c>
      <c r="I25" s="254"/>
      <c r="J25" s="121">
        <f>Marketing!J23+Managemt!J29+Finance!J21+Accounting!J21+Dean_Bus!J41</f>
        <v>0</v>
      </c>
      <c r="K25" s="281"/>
      <c r="L25" s="121">
        <f>Marketing!L23+Managemt!L29+Finance!L21+Accounting!L21+Dean_Bus!L41</f>
        <v>0</v>
      </c>
      <c r="M25" s="281"/>
      <c r="N25" s="363">
        <f>Marketing!N23+Managemt!N29+Finance!N21+Accounting!N21+Dean_Bus!N41</f>
        <v>0</v>
      </c>
      <c r="O25" s="254"/>
      <c r="P25" s="363">
        <f>Marketing!P23+Managemt!P29+Finance!P21+Accounting!P21+Dean_Bus!P41</f>
        <v>0</v>
      </c>
      <c r="Q25" s="254"/>
      <c r="R25" s="363">
        <f>Marketing!R23+Managemt!R29+Finance!R21+Accounting!R21+Dean_Bus!R41</f>
        <v>0</v>
      </c>
      <c r="S25" s="254"/>
      <c r="T25" s="363">
        <f>Marketing!T23+Managemt!T29+Finance!T21+Accounting!T21+Dean_Bus!T41</f>
        <v>0</v>
      </c>
      <c r="U25" s="254"/>
      <c r="V25" s="363">
        <f>Marketing!V23+Managemt!V29+Finance!V21+Accounting!V21+Dean_Bus!V41</f>
        <v>0</v>
      </c>
      <c r="W25" s="254"/>
      <c r="X25" s="363">
        <f>Marketing!X23+Managemt!X29+Finance!X21+Accounting!X21+Dean_Bus!X41</f>
        <v>0</v>
      </c>
      <c r="Y25" s="254"/>
      <c r="Z25" s="1111">
        <f>Marketing!Z23+Managemt!Z29+Finance!Z21+Accounting!Z21+Dean_Bus!Z41</f>
        <v>0</v>
      </c>
      <c r="AB25" s="677"/>
      <c r="AC25" s="676">
        <f t="shared" si="2"/>
        <v>0</v>
      </c>
    </row>
    <row r="26" spans="1:30" thickBot="1" x14ac:dyDescent="0.25">
      <c r="B26" s="50" t="s">
        <v>12</v>
      </c>
      <c r="C26" s="154"/>
      <c r="D26" s="155">
        <f>SUM(D22:D25)</f>
        <v>45407</v>
      </c>
      <c r="E26" s="35"/>
      <c r="F26" s="54">
        <f>SUM(F22:F25)</f>
        <v>44570</v>
      </c>
      <c r="G26" s="303"/>
      <c r="H26" s="384">
        <f>SUM(H22:H25)</f>
        <v>45560</v>
      </c>
      <c r="I26" s="359"/>
      <c r="J26" s="434">
        <f>SUM(J22:J25)</f>
        <v>46993</v>
      </c>
      <c r="K26" s="303"/>
      <c r="L26" s="434">
        <f>SUM(L22:L25)</f>
        <v>47692</v>
      </c>
      <c r="M26" s="303"/>
      <c r="N26" s="384">
        <f>SUM(N22:N25)</f>
        <v>46721</v>
      </c>
      <c r="O26" s="359"/>
      <c r="P26" s="384">
        <f>SUM(P22:P25)</f>
        <v>46104</v>
      </c>
      <c r="Q26" s="359"/>
      <c r="R26" s="384">
        <f>SUM(R22:R25)</f>
        <v>46255</v>
      </c>
      <c r="S26" s="359"/>
      <c r="T26" s="384">
        <f>SUM(T22:T25)</f>
        <v>53530</v>
      </c>
      <c r="U26" s="359"/>
      <c r="V26" s="384">
        <f>SUM(V22:V25)</f>
        <v>56058</v>
      </c>
      <c r="W26" s="359"/>
      <c r="X26" s="384">
        <f>SUM(X22:X25)</f>
        <v>56165</v>
      </c>
      <c r="Y26" s="359"/>
      <c r="Z26" s="1112">
        <f>SUM(Z22:Z25)</f>
        <v>0</v>
      </c>
      <c r="AB26" s="604"/>
      <c r="AC26" s="808">
        <f t="shared" si="2"/>
        <v>42401.599999999999</v>
      </c>
    </row>
    <row r="27" spans="1:30" ht="13.5" customHeight="1" thickTop="1" thickBot="1" x14ac:dyDescent="0.25">
      <c r="A27" s="583"/>
      <c r="B27" s="622" t="s">
        <v>148</v>
      </c>
      <c r="C27" s="1141" t="s">
        <v>41</v>
      </c>
      <c r="D27" s="1160"/>
      <c r="E27" s="1141" t="s">
        <v>42</v>
      </c>
      <c r="F27" s="1160"/>
      <c r="G27" s="1145" t="s">
        <v>132</v>
      </c>
      <c r="H27" s="1163"/>
      <c r="I27" s="1145" t="s">
        <v>133</v>
      </c>
      <c r="J27" s="1166"/>
      <c r="K27" s="1145" t="s">
        <v>134</v>
      </c>
      <c r="L27" s="1166"/>
      <c r="M27" s="1149" t="s">
        <v>135</v>
      </c>
      <c r="N27" s="1163"/>
      <c r="O27" s="1135" t="s">
        <v>166</v>
      </c>
      <c r="P27" s="1163"/>
      <c r="Q27" s="1135" t="s">
        <v>170</v>
      </c>
      <c r="R27" s="1163"/>
      <c r="S27" s="1135" t="s">
        <v>177</v>
      </c>
      <c r="T27" s="1163"/>
      <c r="U27" s="1135" t="s">
        <v>180</v>
      </c>
      <c r="V27" s="1163"/>
      <c r="W27" s="1135" t="s">
        <v>184</v>
      </c>
      <c r="X27" s="1230"/>
      <c r="Y27" s="1135" t="s">
        <v>188</v>
      </c>
      <c r="Z27" s="1163"/>
      <c r="AA27" s="672"/>
      <c r="AB27" s="729"/>
      <c r="AC27" s="730"/>
      <c r="AD27" s="438"/>
    </row>
    <row r="28" spans="1:30" ht="13.5" customHeight="1" x14ac:dyDescent="0.2">
      <c r="A28" s="583"/>
      <c r="B28" s="623" t="s">
        <v>119</v>
      </c>
      <c r="C28" s="1204">
        <v>0.67600000000000005</v>
      </c>
      <c r="D28" s="1205"/>
      <c r="E28" s="1235">
        <v>0.65800000000000003</v>
      </c>
      <c r="F28" s="1236"/>
      <c r="G28" s="1161">
        <v>0.65400000000000003</v>
      </c>
      <c r="H28" s="1200"/>
      <c r="I28" s="1161">
        <v>0.64500000000000002</v>
      </c>
      <c r="J28" s="1200"/>
      <c r="K28" s="643"/>
      <c r="L28" s="640">
        <v>0.63100000000000001</v>
      </c>
      <c r="M28" s="646"/>
      <c r="N28" s="833">
        <v>0.57499999999999996</v>
      </c>
      <c r="O28" s="830"/>
      <c r="P28" s="833">
        <v>0.63600000000000001</v>
      </c>
      <c r="Q28" s="648"/>
      <c r="R28" s="833">
        <v>0.63900000000000001</v>
      </c>
      <c r="S28" s="648"/>
      <c r="T28" s="833">
        <v>0.65300000000000002</v>
      </c>
      <c r="U28" s="648"/>
      <c r="V28" s="833">
        <v>0.65400000000000003</v>
      </c>
      <c r="W28" s="648"/>
      <c r="X28" s="833">
        <v>0.66100000000000003</v>
      </c>
      <c r="Y28" s="648"/>
      <c r="Z28" s="833">
        <v>0.65700000000000003</v>
      </c>
      <c r="AA28" s="916"/>
      <c r="AB28" s="648"/>
      <c r="AC28" s="1019">
        <f t="shared" ref="AC28:AC29" si="3">AVERAGE(X28,V28,T28,R28,Z28)</f>
        <v>0.65280000000000005</v>
      </c>
      <c r="AD28" s="438"/>
    </row>
    <row r="29" spans="1:30" ht="13.5" customHeight="1" x14ac:dyDescent="0.2">
      <c r="A29" s="583"/>
      <c r="B29" s="624" t="s">
        <v>120</v>
      </c>
      <c r="C29" s="1240">
        <v>5.0999999999999997E-2</v>
      </c>
      <c r="D29" s="1241"/>
      <c r="E29" s="1237">
        <v>5.6000000000000001E-2</v>
      </c>
      <c r="F29" s="1238"/>
      <c r="G29" s="1172">
        <v>5.2999999999999999E-2</v>
      </c>
      <c r="H29" s="1199"/>
      <c r="I29" s="1172">
        <v>4.9000000000000002E-2</v>
      </c>
      <c r="J29" s="1199"/>
      <c r="K29" s="644"/>
      <c r="L29" s="641">
        <v>5.3999999999999999E-2</v>
      </c>
      <c r="M29" s="644"/>
      <c r="N29" s="834">
        <v>4.5999999999999999E-2</v>
      </c>
      <c r="O29" s="831"/>
      <c r="P29" s="834">
        <v>4.2999999999999997E-2</v>
      </c>
      <c r="Q29" s="649"/>
      <c r="R29" s="834">
        <v>5.3999999999999999E-2</v>
      </c>
      <c r="S29" s="649"/>
      <c r="T29" s="834">
        <v>4.1000000000000002E-2</v>
      </c>
      <c r="U29" s="649"/>
      <c r="V29" s="834">
        <v>4.5999999999999999E-2</v>
      </c>
      <c r="W29" s="649"/>
      <c r="X29" s="834">
        <v>4.2000000000000003E-2</v>
      </c>
      <c r="Y29" s="649"/>
      <c r="Z29" s="834">
        <v>3.5999999999999997E-2</v>
      </c>
      <c r="AA29" s="916"/>
      <c r="AB29" s="649"/>
      <c r="AC29" s="1019">
        <f t="shared" si="3"/>
        <v>4.3799999999999999E-2</v>
      </c>
      <c r="AD29" s="438"/>
    </row>
    <row r="30" spans="1:30" ht="13.5" customHeight="1" thickBot="1" x14ac:dyDescent="0.25">
      <c r="B30" s="647" t="s">
        <v>121</v>
      </c>
      <c r="C30" s="1208">
        <f>1-SUM(C28:D29)</f>
        <v>0.27299999999999991</v>
      </c>
      <c r="D30" s="1209"/>
      <c r="E30" s="1239">
        <f>1-SUM(E28:F29)</f>
        <v>0.28599999999999992</v>
      </c>
      <c r="F30" s="1201"/>
      <c r="G30" s="1208">
        <f>1-SUM(G28:H29)</f>
        <v>0.29299999999999993</v>
      </c>
      <c r="H30" s="1209"/>
      <c r="I30" s="1208">
        <f>1-SUM(I28:J29)</f>
        <v>0.30599999999999994</v>
      </c>
      <c r="J30" s="1209"/>
      <c r="K30" s="1208">
        <f>1-SUM(K28:L29)</f>
        <v>0.31499999999999995</v>
      </c>
      <c r="L30" s="1209"/>
      <c r="M30" s="1208">
        <f>1-SUM(M28:N29)</f>
        <v>0.379</v>
      </c>
      <c r="N30" s="1209"/>
      <c r="O30" s="1167">
        <f>1-SUM(O28:P29)</f>
        <v>0.32099999999999995</v>
      </c>
      <c r="P30" s="1209"/>
      <c r="Q30" s="1225">
        <f>1-R28-R29</f>
        <v>0.307</v>
      </c>
      <c r="R30" s="1201"/>
      <c r="S30" s="1225">
        <f>1-T28-T29</f>
        <v>0.30599999999999999</v>
      </c>
      <c r="T30" s="1201"/>
      <c r="U30" s="1012"/>
      <c r="V30" s="1011">
        <f>1-V28-V29</f>
        <v>0.3</v>
      </c>
      <c r="W30" s="1012"/>
      <c r="X30" s="1011">
        <f>1-X28-X29</f>
        <v>0.29699999999999999</v>
      </c>
      <c r="Y30" s="1116"/>
      <c r="Z30" s="1114">
        <f>1-Z28-Z29</f>
        <v>0.307</v>
      </c>
      <c r="AA30" s="916"/>
      <c r="AB30" s="1017"/>
      <c r="AC30" s="1018">
        <f>AVERAGE(X30,V30,T30,R30,Z30)</f>
        <v>0.30133333333333329</v>
      </c>
      <c r="AD30" s="742"/>
    </row>
    <row r="31" spans="1:30" thickTop="1" x14ac:dyDescent="0.2">
      <c r="B31" s="581"/>
      <c r="C31" s="103"/>
      <c r="D31" s="104"/>
      <c r="E31" s="103"/>
      <c r="F31" s="104"/>
      <c r="G31" s="251"/>
      <c r="H31" s="252"/>
      <c r="I31" s="251"/>
      <c r="J31" s="252"/>
      <c r="K31" s="251"/>
      <c r="L31" s="252"/>
      <c r="M31" s="251"/>
      <c r="N31" s="252"/>
      <c r="O31" s="251"/>
      <c r="P31" s="252"/>
      <c r="Q31" s="251"/>
      <c r="R31" s="252"/>
      <c r="S31" s="251"/>
      <c r="T31" s="252"/>
      <c r="U31" s="251"/>
      <c r="V31" s="252"/>
      <c r="W31" s="251"/>
      <c r="X31" s="252"/>
      <c r="Y31" s="251"/>
      <c r="Z31" s="252"/>
    </row>
    <row r="32" spans="1:30" x14ac:dyDescent="0.2">
      <c r="A32" s="105" t="s">
        <v>51</v>
      </c>
      <c r="B32" s="92"/>
      <c r="C32" s="59"/>
      <c r="D32" s="59"/>
      <c r="E32" s="59"/>
      <c r="F32" s="59"/>
      <c r="G32" s="253"/>
      <c r="H32" s="253"/>
      <c r="I32" s="253"/>
      <c r="J32" s="253"/>
      <c r="K32" s="253"/>
      <c r="L32" s="253"/>
      <c r="M32" s="253"/>
      <c r="N32" s="253"/>
      <c r="O32" s="253"/>
      <c r="P32" s="253"/>
      <c r="Q32" s="253"/>
      <c r="R32" s="253"/>
      <c r="S32" s="253"/>
      <c r="T32" s="253"/>
      <c r="U32" s="253"/>
      <c r="V32" s="253"/>
      <c r="W32" s="253"/>
      <c r="X32" s="253"/>
      <c r="Y32" s="253"/>
      <c r="Z32" s="253"/>
    </row>
    <row r="33" spans="1:29" ht="13.5" thickBot="1" x14ac:dyDescent="0.25">
      <c r="A33" s="105"/>
      <c r="B33" s="92"/>
      <c r="C33" s="59"/>
      <c r="D33" s="59"/>
      <c r="E33" s="59"/>
      <c r="F33" s="59"/>
      <c r="G33" s="253"/>
      <c r="H33" s="253"/>
      <c r="I33" s="253"/>
      <c r="J33" s="253"/>
      <c r="K33" s="253"/>
      <c r="L33" s="253"/>
      <c r="M33" s="253"/>
      <c r="N33" s="253"/>
      <c r="O33" s="253"/>
      <c r="P33" s="253"/>
      <c r="Q33" s="253"/>
      <c r="R33" s="253"/>
      <c r="S33" s="253"/>
      <c r="T33" s="253"/>
      <c r="U33" s="253"/>
      <c r="V33" s="253"/>
      <c r="W33" s="253"/>
      <c r="X33" s="253"/>
      <c r="Y33" s="253"/>
      <c r="Z33" s="253"/>
    </row>
    <row r="34" spans="1:29" ht="14.25" thickTop="1" thickBot="1" x14ac:dyDescent="0.25">
      <c r="A34" s="3"/>
      <c r="B34" s="867" t="s">
        <v>70</v>
      </c>
      <c r="C34" s="1151" t="s">
        <v>39</v>
      </c>
      <c r="D34" s="1152"/>
      <c r="E34" s="1153" t="s">
        <v>40</v>
      </c>
      <c r="F34" s="1153"/>
      <c r="G34" s="1150" t="s">
        <v>97</v>
      </c>
      <c r="H34" s="1134"/>
      <c r="I34" s="1150" t="s">
        <v>108</v>
      </c>
      <c r="J34" s="1133"/>
      <c r="K34" s="1150" t="s">
        <v>109</v>
      </c>
      <c r="L34" s="1133"/>
      <c r="M34" s="1150" t="s">
        <v>111</v>
      </c>
      <c r="N34" s="1134"/>
      <c r="O34" s="1133" t="s">
        <v>164</v>
      </c>
      <c r="P34" s="1134"/>
      <c r="Q34" s="1133" t="s">
        <v>169</v>
      </c>
      <c r="R34" s="1134"/>
      <c r="S34" s="1133" t="s">
        <v>176</v>
      </c>
      <c r="T34" s="1134"/>
      <c r="U34" s="1133" t="s">
        <v>179</v>
      </c>
      <c r="V34" s="1134"/>
      <c r="W34" s="1133" t="s">
        <v>183</v>
      </c>
      <c r="X34" s="1134"/>
      <c r="Y34" s="1133" t="s">
        <v>187</v>
      </c>
      <c r="Z34" s="1134"/>
      <c r="AA34" s="583"/>
      <c r="AB34" s="1153" t="s">
        <v>118</v>
      </c>
      <c r="AC34" s="1222"/>
    </row>
    <row r="35" spans="1:29" x14ac:dyDescent="0.2">
      <c r="A35" s="3"/>
      <c r="B35" s="868" t="s">
        <v>53</v>
      </c>
      <c r="C35" s="151"/>
      <c r="D35" s="152"/>
      <c r="E35" s="34"/>
      <c r="F35" s="109"/>
      <c r="G35" s="281"/>
      <c r="H35" s="374"/>
      <c r="I35" s="358"/>
      <c r="J35" s="358"/>
      <c r="K35" s="280"/>
      <c r="L35" s="358"/>
      <c r="M35" s="280"/>
      <c r="N35" s="360"/>
      <c r="O35" s="358"/>
      <c r="P35" s="360"/>
      <c r="Q35" s="358"/>
      <c r="R35" s="360"/>
      <c r="S35" s="358"/>
      <c r="T35" s="360"/>
      <c r="U35" s="358"/>
      <c r="V35" s="360"/>
      <c r="W35" s="358"/>
      <c r="X35" s="360"/>
      <c r="Y35" s="358"/>
      <c r="Z35" s="360"/>
      <c r="AA35" s="583"/>
      <c r="AB35" s="33"/>
      <c r="AC35" s="697"/>
    </row>
    <row r="36" spans="1:29" x14ac:dyDescent="0.2">
      <c r="A36" s="3"/>
      <c r="B36" s="869" t="s">
        <v>54</v>
      </c>
      <c r="C36" s="149"/>
      <c r="D36" s="213">
        <f>+Dean_Bus!D52+Accounting!D32+Finance!D32+Managemt!D40+Marketing!D34</f>
        <v>7066123</v>
      </c>
      <c r="E36" s="33"/>
      <c r="F36" s="220">
        <f>+Dean_Bus!F52+Accounting!F32+Finance!F32+Managemt!F40+Marketing!F34</f>
        <v>7697656</v>
      </c>
      <c r="G36" s="280"/>
      <c r="H36" s="371">
        <f>+Dean_Bus!H52+Accounting!H32+Finance!H32+Managemt!H40+Marketing!H34</f>
        <v>7906484</v>
      </c>
      <c r="I36" s="358"/>
      <c r="J36" s="439">
        <f>+Dean_Bus!J52+Accounting!J32+Finance!J32+Managemt!J40+Marketing!J34</f>
        <v>8218771</v>
      </c>
      <c r="K36" s="280"/>
      <c r="L36" s="439">
        <f>+Dean_Bus!L52+Accounting!L32+Finance!L32+Managemt!L40+Marketing!L34</f>
        <v>8563208</v>
      </c>
      <c r="M36" s="280"/>
      <c r="N36" s="371">
        <f>+Dean_Bus!N52+Accounting!N32+Finance!N32+Managemt!N40+Marketing!N34</f>
        <v>9062338</v>
      </c>
      <c r="O36" s="358"/>
      <c r="P36" s="371">
        <f>+Dean_Bus!P52+Accounting!P32+Finance!P32+Managemt!P40+Marketing!P34</f>
        <v>8783067</v>
      </c>
      <c r="Q36" s="358"/>
      <c r="R36" s="371">
        <f>+Dean_Bus!R52+Accounting!R32+Finance!R32+Managemt!R40+Marketing!R34</f>
        <v>9321323</v>
      </c>
      <c r="S36" s="358"/>
      <c r="T36" s="371">
        <f>+Dean_Bus!T52+Accounting!T32+Finance!T32+Managemt!T40+Marketing!T34</f>
        <v>9753051</v>
      </c>
      <c r="U36" s="1040"/>
      <c r="V36" s="371">
        <f>+Dean_Bus!V52+Accounting!V32+Finance!V32+Managemt!V40+Marketing!V34</f>
        <v>10148491</v>
      </c>
      <c r="W36" s="1040"/>
      <c r="X36" s="371">
        <f>+Dean_Bus!X52+Accounting!X32+Finance!X32+Managemt!X40+Marketing!X34</f>
        <v>10341336</v>
      </c>
      <c r="Y36" s="1040"/>
      <c r="Z36" s="371">
        <f>+Dean_Bus!Z52+Accounting!Z32+Finance!Z32+Managemt!Z40+Marketing!Z34</f>
        <v>11061424</v>
      </c>
      <c r="AA36" s="583"/>
      <c r="AB36" s="34"/>
      <c r="AC36" s="681">
        <f>AVERAGE(X36,V36,T36,R36,Z36)</f>
        <v>10125125</v>
      </c>
    </row>
    <row r="37" spans="1:29" ht="24" x14ac:dyDescent="0.2">
      <c r="A37" s="3"/>
      <c r="B37" s="870" t="s">
        <v>65</v>
      </c>
      <c r="C37" s="151"/>
      <c r="D37" s="214">
        <f>Dean_Bus!D54+Accounting!D34+Finance!D34+Managemt!D42+Marketing!D35</f>
        <v>40000</v>
      </c>
      <c r="E37" s="34"/>
      <c r="F37" s="221">
        <f>Dean_Bus!F54+Accounting!F34+Finance!F34+Managemt!F42+Marketing!F35</f>
        <v>86467</v>
      </c>
      <c r="G37" s="281"/>
      <c r="H37" s="372">
        <f>Dean_Bus!H54+Accounting!H34+Finance!H34+Managemt!H42+Marketing!H35</f>
        <v>423186</v>
      </c>
      <c r="I37" s="254"/>
      <c r="J37" s="440">
        <f>Dean_Bus!J54+Accounting!J34+Finance!J34+Managemt!J42+Marketing!J35</f>
        <v>484188</v>
      </c>
      <c r="K37" s="281"/>
      <c r="L37" s="440">
        <f>Dean_Bus!L54+Accounting!L34+Finance!L34+Managemt!L42+Marketing!L35</f>
        <v>736833</v>
      </c>
      <c r="M37" s="281"/>
      <c r="N37" s="372">
        <f>Dean_Bus!N54+Accounting!N34+Finance!N34+Managemt!N42+Marketing!N35</f>
        <v>833587</v>
      </c>
      <c r="O37" s="254"/>
      <c r="P37" s="372">
        <f>Dean_Bus!P54+Accounting!P34+Finance!P34+Managemt!P42+Marketing!P35</f>
        <v>1111096</v>
      </c>
      <c r="Q37" s="254"/>
      <c r="R37" s="372">
        <f>Dean_Bus!R54+Accounting!R34+Finance!R34+Managemt!R42+Marketing!R35</f>
        <v>1025298</v>
      </c>
      <c r="S37" s="254"/>
      <c r="T37" s="372">
        <f>Dean_Bus!T54+Accounting!T34+Finance!T34+Managemt!T42+Marketing!T35</f>
        <v>1137859</v>
      </c>
      <c r="U37" s="254"/>
      <c r="V37" s="371">
        <f>+Dean_Bus!V54+Accounting!V34+Finance!V34+Managemt!V42+Marketing!V35</f>
        <v>1199357</v>
      </c>
      <c r="W37" s="254"/>
      <c r="X37" s="371">
        <f>+Dean_Bus!X54+Accounting!X34+Finance!X34+Managemt!X42+Marketing!X35</f>
        <v>1864201</v>
      </c>
      <c r="Y37" s="254"/>
      <c r="Z37" s="371">
        <f>+Dean_Bus!Z54+Accounting!Z34+Finance!Z34+Managemt!Z42+Marketing!Z35</f>
        <v>2476758</v>
      </c>
      <c r="AA37" s="583"/>
      <c r="AB37" s="677"/>
      <c r="AC37" s="681">
        <f>AVERAGE(X37,V37,T37,R37,Z37)</f>
        <v>1540694.6</v>
      </c>
    </row>
    <row r="38" spans="1:29" ht="12.75" customHeight="1" x14ac:dyDescent="0.2">
      <c r="A38" s="3"/>
      <c r="B38" s="871" t="s">
        <v>56</v>
      </c>
      <c r="C38" s="215"/>
      <c r="D38" s="216">
        <f>SUM(D36:D37)</f>
        <v>7106123</v>
      </c>
      <c r="E38" s="106"/>
      <c r="F38" s="222">
        <f>SUM(F36:F37)</f>
        <v>7784123</v>
      </c>
      <c r="G38" s="284"/>
      <c r="H38" s="373">
        <f>SUM(H36:H37)</f>
        <v>8329670</v>
      </c>
      <c r="I38" s="365"/>
      <c r="J38" s="441">
        <f>SUM(J36:J37)</f>
        <v>8702959</v>
      </c>
      <c r="K38" s="284"/>
      <c r="L38" s="441">
        <f>SUM(L36:L37)</f>
        <v>9300041</v>
      </c>
      <c r="M38" s="284"/>
      <c r="N38" s="373">
        <f>SUM(N36:N37)</f>
        <v>9895925</v>
      </c>
      <c r="O38" s="365"/>
      <c r="P38" s="373">
        <f>SUM(P36:P37)</f>
        <v>9894163</v>
      </c>
      <c r="Q38" s="365"/>
      <c r="R38" s="373">
        <f>SUM(R36:R37)</f>
        <v>10346621</v>
      </c>
      <c r="S38" s="365"/>
      <c r="T38" s="373">
        <f>SUM(T36:T37)</f>
        <v>10890910</v>
      </c>
      <c r="U38" s="365"/>
      <c r="V38" s="373">
        <f>SUM(V36:V37)</f>
        <v>11347848</v>
      </c>
      <c r="W38" s="365"/>
      <c r="X38" s="373">
        <f>SUM(X36:X37)</f>
        <v>12205537</v>
      </c>
      <c r="Y38" s="365"/>
      <c r="Z38" s="373">
        <f>SUM(Z36:Z37)</f>
        <v>13538182</v>
      </c>
      <c r="AA38" s="583"/>
      <c r="AB38" s="33"/>
      <c r="AC38" s="763">
        <f>AVERAGE(X38,V38,T38,R38,Z38)</f>
        <v>11665819.6</v>
      </c>
    </row>
    <row r="39" spans="1:29" x14ac:dyDescent="0.2">
      <c r="A39" s="3"/>
      <c r="B39" s="868" t="s">
        <v>57</v>
      </c>
      <c r="C39" s="151"/>
      <c r="D39" s="214"/>
      <c r="E39" s="34"/>
      <c r="F39" s="221"/>
      <c r="G39" s="281"/>
      <c r="H39" s="372"/>
      <c r="I39" s="254"/>
      <c r="J39" s="440"/>
      <c r="K39" s="281"/>
      <c r="L39" s="440"/>
      <c r="M39" s="281"/>
      <c r="N39" s="372"/>
      <c r="O39" s="254"/>
      <c r="P39" s="372"/>
      <c r="Q39" s="254"/>
      <c r="R39" s="372"/>
      <c r="S39" s="254"/>
      <c r="T39" s="372"/>
      <c r="U39" s="254"/>
      <c r="V39" s="372"/>
      <c r="W39" s="254"/>
      <c r="X39" s="372"/>
      <c r="Y39" s="254"/>
      <c r="Z39" s="372"/>
      <c r="AA39" s="583"/>
      <c r="AB39" s="34"/>
      <c r="AC39" s="681"/>
    </row>
    <row r="40" spans="1:29" x14ac:dyDescent="0.2">
      <c r="A40" s="3"/>
      <c r="B40" s="869" t="s">
        <v>54</v>
      </c>
      <c r="C40" s="151"/>
      <c r="D40" s="214"/>
      <c r="E40" s="34"/>
      <c r="F40" s="221"/>
      <c r="G40" s="281"/>
      <c r="H40" s="372"/>
      <c r="I40" s="254"/>
      <c r="J40" s="440"/>
      <c r="K40" s="281"/>
      <c r="L40" s="440"/>
      <c r="M40" s="281"/>
      <c r="N40" s="372"/>
      <c r="O40" s="254"/>
      <c r="P40" s="372"/>
      <c r="Q40" s="254"/>
      <c r="R40" s="372"/>
      <c r="S40" s="254"/>
      <c r="T40" s="372"/>
      <c r="U40" s="254"/>
      <c r="V40" s="372"/>
      <c r="W40" s="254"/>
      <c r="X40" s="372"/>
      <c r="Y40" s="254"/>
      <c r="Z40" s="372"/>
      <c r="AA40" s="583"/>
      <c r="AB40" s="760"/>
      <c r="AC40" s="681"/>
    </row>
    <row r="41" spans="1:29" ht="24" x14ac:dyDescent="0.2">
      <c r="A41" s="3"/>
      <c r="B41" s="870" t="s">
        <v>65</v>
      </c>
      <c r="C41" s="151"/>
      <c r="D41" s="214"/>
      <c r="E41" s="34"/>
      <c r="F41" s="221"/>
      <c r="G41" s="281"/>
      <c r="H41" s="372"/>
      <c r="I41" s="254"/>
      <c r="J41" s="440"/>
      <c r="K41" s="281"/>
      <c r="L41" s="440"/>
      <c r="M41" s="281"/>
      <c r="N41" s="372"/>
      <c r="O41" s="254"/>
      <c r="P41" s="372"/>
      <c r="Q41" s="254" t="s">
        <v>26</v>
      </c>
      <c r="R41" s="372"/>
      <c r="S41" s="254" t="s">
        <v>26</v>
      </c>
      <c r="T41" s="372"/>
      <c r="U41" s="254" t="s">
        <v>26</v>
      </c>
      <c r="V41" s="372"/>
      <c r="W41" s="254" t="s">
        <v>26</v>
      </c>
      <c r="X41" s="372"/>
      <c r="Y41" s="254" t="s">
        <v>26</v>
      </c>
      <c r="Z41" s="372"/>
      <c r="AA41" s="583"/>
      <c r="AB41" s="760"/>
      <c r="AC41" s="681"/>
    </row>
    <row r="42" spans="1:29" x14ac:dyDescent="0.2">
      <c r="A42" s="3"/>
      <c r="B42" s="871" t="s">
        <v>59</v>
      </c>
      <c r="C42" s="215"/>
      <c r="D42" s="216">
        <f>SUM(D40:D41)</f>
        <v>0</v>
      </c>
      <c r="E42" s="106"/>
      <c r="F42" s="222">
        <f>SUM(F40:F41)</f>
        <v>0</v>
      </c>
      <c r="G42" s="284"/>
      <c r="H42" s="373">
        <f>SUM(H40:H41)</f>
        <v>0</v>
      </c>
      <c r="I42" s="365"/>
      <c r="J42" s="441">
        <f>SUM(J40:J41)</f>
        <v>0</v>
      </c>
      <c r="K42" s="284"/>
      <c r="L42" s="441">
        <f>SUM(L40:L41)</f>
        <v>0</v>
      </c>
      <c r="M42" s="284"/>
      <c r="N42" s="373">
        <f>SUM(N40:N41)</f>
        <v>0</v>
      </c>
      <c r="O42" s="365"/>
      <c r="P42" s="373">
        <f>SUM(P40:P41)</f>
        <v>0</v>
      </c>
      <c r="Q42" s="365"/>
      <c r="R42" s="373">
        <f>SUM(R40:R41)</f>
        <v>0</v>
      </c>
      <c r="S42" s="365"/>
      <c r="T42" s="373">
        <f>SUM(T40:T41)</f>
        <v>0</v>
      </c>
      <c r="U42" s="365"/>
      <c r="V42" s="373">
        <f>SUM(V40:V41)</f>
        <v>0</v>
      </c>
      <c r="W42" s="365"/>
      <c r="X42" s="373">
        <f>SUM(X40:X41)</f>
        <v>0</v>
      </c>
      <c r="Y42" s="365"/>
      <c r="Z42" s="373">
        <f>SUM(Z40:Z41)</f>
        <v>0</v>
      </c>
      <c r="AA42" s="583"/>
      <c r="AB42" s="760"/>
      <c r="AC42" s="681">
        <f>AVERAGE(N42,L42,T42,R42,P42)</f>
        <v>0</v>
      </c>
    </row>
    <row r="43" spans="1:29" ht="14.25" customHeight="1" thickBot="1" x14ac:dyDescent="0.25">
      <c r="A43" s="3"/>
      <c r="B43" s="872" t="s">
        <v>71</v>
      </c>
      <c r="C43" s="151"/>
      <c r="D43" s="216">
        <f>SUM(D38,D42)</f>
        <v>7106123</v>
      </c>
      <c r="E43" s="34"/>
      <c r="F43" s="222">
        <f>SUM(F38,F42)</f>
        <v>7784123</v>
      </c>
      <c r="G43" s="281"/>
      <c r="H43" s="373">
        <f>SUM(H38,H42)</f>
        <v>8329670</v>
      </c>
      <c r="I43" s="254"/>
      <c r="J43" s="441">
        <f>SUM(J38,J42)</f>
        <v>8702959</v>
      </c>
      <c r="K43" s="281"/>
      <c r="L43" s="441">
        <f>SUM(L38,L42)</f>
        <v>9300041</v>
      </c>
      <c r="M43" s="281"/>
      <c r="N43" s="373">
        <f>SUM(N38,N42)</f>
        <v>9895925</v>
      </c>
      <c r="O43" s="254"/>
      <c r="P43" s="373">
        <f>SUM(P38,P42)</f>
        <v>9894163</v>
      </c>
      <c r="Q43" s="254"/>
      <c r="R43" s="373">
        <f>SUM(R38,R42)</f>
        <v>10346621</v>
      </c>
      <c r="S43" s="254"/>
      <c r="T43" s="373">
        <f>SUM(T38,T42)</f>
        <v>10890910</v>
      </c>
      <c r="U43" s="254"/>
      <c r="V43" s="373">
        <f>SUM(V38,V42)</f>
        <v>11347848</v>
      </c>
      <c r="W43" s="254"/>
      <c r="X43" s="373">
        <f>SUM(X38,X42)</f>
        <v>12205537</v>
      </c>
      <c r="Y43" s="254"/>
      <c r="Z43" s="373">
        <f>SUM(Z38,Z42)</f>
        <v>13538182</v>
      </c>
      <c r="AA43" s="583"/>
      <c r="AB43" s="760"/>
      <c r="AC43" s="763">
        <f>AVERAGE(X43,V43,T43,R43,Z43)</f>
        <v>11665819.6</v>
      </c>
    </row>
    <row r="44" spans="1:29" ht="12" x14ac:dyDescent="0.2">
      <c r="B44" s="873" t="s">
        <v>173</v>
      </c>
      <c r="C44" s="218"/>
      <c r="D44" s="219"/>
      <c r="E44" s="109"/>
      <c r="F44" s="109"/>
      <c r="G44" s="285"/>
      <c r="H44" s="374"/>
      <c r="I44" s="366"/>
      <c r="J44" s="366"/>
      <c r="K44" s="285"/>
      <c r="L44" s="366"/>
      <c r="M44" s="285"/>
      <c r="N44" s="374"/>
      <c r="O44" s="366"/>
      <c r="P44" s="374"/>
      <c r="Q44" s="366"/>
      <c r="R44" s="374"/>
      <c r="S44" s="366"/>
      <c r="T44" s="374"/>
      <c r="U44" s="366"/>
      <c r="V44" s="374"/>
      <c r="W44" s="366"/>
      <c r="X44" s="374"/>
      <c r="Y44" s="366"/>
      <c r="Z44" s="374"/>
      <c r="AA44" s="583"/>
      <c r="AB44" s="760"/>
      <c r="AC44" s="681"/>
    </row>
    <row r="45" spans="1:29" s="124" customFormat="1" ht="12" x14ac:dyDescent="0.2">
      <c r="B45" s="874" t="s">
        <v>13</v>
      </c>
      <c r="C45" s="229"/>
      <c r="D45" s="230">
        <f>+Dean_Bus!D62+Accounting!D43+Finance!D43+Managemt!D51+Marketing!D43</f>
        <v>6436624</v>
      </c>
      <c r="E45" s="134"/>
      <c r="F45" s="462">
        <f>+Dean_Bus!F62+Accounting!F43+Finance!F43+Managemt!F51+Marketing!F43</f>
        <v>7317180</v>
      </c>
      <c r="G45" s="532"/>
      <c r="H45" s="464">
        <f>+Dean_Bus!H62+Accounting!H43+Finance!H43+Managemt!H51+Marketing!H43</f>
        <v>7488737.1799999997</v>
      </c>
      <c r="I45" s="462"/>
      <c r="J45" s="462">
        <f>+Dean_Bus!J62+Accounting!J43+Finance!J43+Managemt!J51+Marketing!J43</f>
        <v>7205354.9799999995</v>
      </c>
      <c r="K45" s="532"/>
      <c r="L45" s="462">
        <f>+Dean_Bus!L62+Accounting!L43+Finance!L43+Managemt!L51+Marketing!L43</f>
        <v>7950981</v>
      </c>
      <c r="M45" s="532"/>
      <c r="N45" s="423">
        <f>+Dean_Bus!N62+Accounting!N43+Finance!N43+Managemt!N51+Marketing!N43</f>
        <v>8819185</v>
      </c>
      <c r="O45" s="532"/>
      <c r="P45" s="423">
        <f>+Dean_Bus!P62+Accounting!P43+Finance!P43+Managemt!P51+Marketing!P43</f>
        <v>8576928</v>
      </c>
      <c r="Q45" s="462"/>
      <c r="R45" s="423">
        <f>+Dean_Bus!R62+Accounting!R43+Finance!R43+Managemt!R51+Marketing!R43</f>
        <v>8524109</v>
      </c>
      <c r="S45" s="462"/>
      <c r="T45" s="423">
        <f>+Dean_Bus!T62+Accounting!T43+Finance!T43+Managemt!T51+Marketing!T43</f>
        <v>9795740</v>
      </c>
      <c r="U45" s="462"/>
      <c r="V45" s="423">
        <f>+Dean_Bus!V62+Accounting!V43+Finance!V43+Managemt!V51+Marketing!V43</f>
        <v>9698278</v>
      </c>
      <c r="W45" s="462"/>
      <c r="X45" s="464">
        <f>+Dean_Bus!X62+Accounting!X43+Finance!X43+Managemt!X51+Marketing!X43</f>
        <v>10208810.699999999</v>
      </c>
      <c r="Y45" s="462"/>
      <c r="Z45" s="1049"/>
      <c r="AA45" s="917"/>
      <c r="AB45" s="760"/>
      <c r="AC45" s="1125">
        <f>AVERAGE(X45,V45,T45,R45,P45)</f>
        <v>9360773.1400000006</v>
      </c>
    </row>
    <row r="46" spans="1:29" s="124" customFormat="1" ht="12" x14ac:dyDescent="0.2">
      <c r="B46" s="875" t="s">
        <v>14</v>
      </c>
      <c r="C46" s="231"/>
      <c r="D46" s="232">
        <f>Managemt!D52+Finance!D44</f>
        <v>53124</v>
      </c>
      <c r="E46" s="135"/>
      <c r="F46" s="463">
        <f>Managemt!F52+Finance!F44</f>
        <v>5918</v>
      </c>
      <c r="G46" s="533"/>
      <c r="H46" s="465">
        <f>Managemt!H52+Finance!H44</f>
        <v>0</v>
      </c>
      <c r="I46" s="463"/>
      <c r="J46" s="463">
        <f>Managemt!J52+Finance!J44</f>
        <v>0</v>
      </c>
      <c r="K46" s="533"/>
      <c r="L46" s="463">
        <f>Managemt!L52+Finance!L44</f>
        <v>0</v>
      </c>
      <c r="M46" s="533"/>
      <c r="N46" s="911">
        <f>Managemt!N52+Finance!N44</f>
        <v>0</v>
      </c>
      <c r="O46" s="533"/>
      <c r="P46" s="911">
        <f>Managemt!P52+Finance!P44</f>
        <v>0</v>
      </c>
      <c r="Q46" s="463"/>
      <c r="R46" s="911">
        <f>Managemt!R52+Finance!R44</f>
        <v>0</v>
      </c>
      <c r="S46" s="463"/>
      <c r="T46" s="911">
        <f>Managemt!T52+Finance!T44</f>
        <v>0</v>
      </c>
      <c r="U46" s="463"/>
      <c r="V46" s="911">
        <f>Managemt!V52+Finance!V44</f>
        <v>0</v>
      </c>
      <c r="W46" s="463"/>
      <c r="X46" s="465">
        <f>Managemt!X52+Finance!X44</f>
        <v>0</v>
      </c>
      <c r="Y46" s="463"/>
      <c r="Z46" s="1050"/>
      <c r="AA46" s="917"/>
      <c r="AB46" s="760"/>
      <c r="AC46" s="1125">
        <f>AVERAGE(X46,V46,T46,R46,P46)</f>
        <v>0</v>
      </c>
    </row>
    <row r="47" spans="1:29" thickBot="1" x14ac:dyDescent="0.25">
      <c r="B47" s="876"/>
      <c r="C47" s="167"/>
      <c r="D47" s="168"/>
      <c r="E47" s="36"/>
      <c r="F47" s="125"/>
      <c r="G47" s="287"/>
      <c r="H47" s="418"/>
      <c r="I47" s="367"/>
      <c r="J47" s="413"/>
      <c r="K47" s="287"/>
      <c r="L47" s="413"/>
      <c r="M47" s="287"/>
      <c r="N47" s="418"/>
      <c r="O47" s="367"/>
      <c r="P47" s="418"/>
      <c r="Q47" s="367"/>
      <c r="R47" s="418"/>
      <c r="S47" s="367"/>
      <c r="T47" s="418"/>
      <c r="U47" s="367"/>
      <c r="V47" s="418"/>
      <c r="W47" s="367"/>
      <c r="X47" s="418"/>
      <c r="Y47" s="367"/>
      <c r="Z47" s="418"/>
      <c r="AA47" s="583"/>
      <c r="AB47" s="760"/>
      <c r="AC47" s="1125"/>
    </row>
    <row r="48" spans="1:29" ht="12" x14ac:dyDescent="0.2">
      <c r="B48" s="52" t="s">
        <v>47</v>
      </c>
      <c r="C48" s="474" t="s">
        <v>89</v>
      </c>
      <c r="D48" s="170" t="s">
        <v>96</v>
      </c>
      <c r="E48" s="474" t="s">
        <v>89</v>
      </c>
      <c r="F48" s="183" t="s">
        <v>96</v>
      </c>
      <c r="G48" s="339" t="s">
        <v>89</v>
      </c>
      <c r="H48" s="375" t="s">
        <v>96</v>
      </c>
      <c r="I48" s="412" t="s">
        <v>89</v>
      </c>
      <c r="J48" s="412" t="s">
        <v>96</v>
      </c>
      <c r="K48" s="339" t="s">
        <v>89</v>
      </c>
      <c r="L48" s="412" t="s">
        <v>96</v>
      </c>
      <c r="M48" s="339" t="s">
        <v>89</v>
      </c>
      <c r="N48" s="375" t="s">
        <v>96</v>
      </c>
      <c r="O48" s="412" t="s">
        <v>89</v>
      </c>
      <c r="P48" s="375" t="s">
        <v>96</v>
      </c>
      <c r="Q48" s="412" t="s">
        <v>89</v>
      </c>
      <c r="R48" s="375" t="s">
        <v>96</v>
      </c>
      <c r="S48" s="412" t="s">
        <v>89</v>
      </c>
      <c r="T48" s="375" t="s">
        <v>96</v>
      </c>
      <c r="U48" s="412" t="s">
        <v>89</v>
      </c>
      <c r="V48" s="375" t="s">
        <v>96</v>
      </c>
      <c r="W48" s="412" t="s">
        <v>89</v>
      </c>
      <c r="X48" s="375" t="s">
        <v>96</v>
      </c>
      <c r="Y48" s="412" t="s">
        <v>89</v>
      </c>
      <c r="Z48" s="375" t="s">
        <v>96</v>
      </c>
      <c r="AA48" s="583"/>
      <c r="AB48" s="339" t="s">
        <v>89</v>
      </c>
      <c r="AC48" s="1126" t="s">
        <v>96</v>
      </c>
    </row>
    <row r="49" spans="1:29" ht="12" x14ac:dyDescent="0.2">
      <c r="B49" s="49" t="s">
        <v>104</v>
      </c>
      <c r="C49" s="476">
        <f>Dean_Bus!C65+Accounting!C46+Finance!C46+Managemt!C54+Marketing!C46</f>
        <v>8</v>
      </c>
      <c r="D49" s="478">
        <f>Dean_Bus!D65+Accounting!D46+Finance!D46+Managemt!D54+Marketing!D46</f>
        <v>1021593</v>
      </c>
      <c r="E49" s="476">
        <f>Dean_Bus!E65+Accounting!E46+Finance!E46+Managemt!E54+Marketing!E46</f>
        <v>9</v>
      </c>
      <c r="F49" s="478">
        <f>Dean_Bus!F65+Accounting!F46+Finance!F46+Managemt!F54+Marketing!F46</f>
        <v>1830612</v>
      </c>
      <c r="G49" s="476">
        <f>Dean_Bus!G65+Accounting!G46+Finance!G46+Managemt!G54+Marketing!G46</f>
        <v>6</v>
      </c>
      <c r="H49" s="478">
        <f>Dean_Bus!H65+Accounting!H46+Finance!H46+Managemt!H54+Marketing!H46</f>
        <v>452592</v>
      </c>
      <c r="I49" s="476">
        <f>Dean_Bus!I65+Accounting!I46+Finance!I46+Managemt!I54+Marketing!I46</f>
        <v>10</v>
      </c>
      <c r="J49" s="478">
        <f>Dean_Bus!J65+Accounting!J46+Finance!J46+Managemt!J54+Marketing!J46</f>
        <v>1290178</v>
      </c>
      <c r="K49" s="476">
        <f>Dean_Bus!K65+Accounting!K46+Finance!K46+Managemt!K54+Marketing!K46</f>
        <v>5</v>
      </c>
      <c r="L49" s="227">
        <f>Dean_Bus!L65+Accounting!L46+Finance!L46+Managemt!L54+Marketing!L46</f>
        <v>243823</v>
      </c>
      <c r="M49" s="853">
        <f>Dean_Bus!M65+Accounting!M46+Finance!M46+Managemt!M54+Marketing!M46</f>
        <v>1</v>
      </c>
      <c r="N49" s="230">
        <f>Dean_Bus!N65+Accounting!N46+Finance!N46+Managemt!N54+Marketing!N46</f>
        <v>82711</v>
      </c>
      <c r="O49" s="853">
        <f>Dean_Bus!O65+Accounting!O46+Finance!O46+Managemt!O54+Marketing!O46</f>
        <v>4</v>
      </c>
      <c r="P49" s="230">
        <f>Dean_Bus!P65+Accounting!P46+Finance!P46+Managemt!P54+Marketing!P46</f>
        <v>415842</v>
      </c>
      <c r="Q49" s="853">
        <f>Dean_Bus!Q65+Accounting!Q46+Finance!Q46+Managemt!Q54+Marketing!Q46</f>
        <v>2</v>
      </c>
      <c r="R49" s="230">
        <f>Dean_Bus!R65+Accounting!R46+Finance!R46+Managemt!R54+Marketing!R46</f>
        <v>2132309</v>
      </c>
      <c r="S49" s="1063">
        <f>Dean_Bus!S65+Accounting!S46+Finance!S46+Managemt!S54+Marketing!S46</f>
        <v>0</v>
      </c>
      <c r="T49" s="464">
        <f>Dean_Bus!T65+Accounting!T46+Finance!T46+Managemt!T54+Marketing!T46</f>
        <v>0</v>
      </c>
      <c r="U49" s="1063">
        <f>Dean_Bus!U65+Accounting!U46+Finance!U46+Managemt!U54+Marketing!U46</f>
        <v>2</v>
      </c>
      <c r="V49" s="464">
        <f>Dean_Bus!V65+Accounting!V46+Finance!V46+Managemt!V54+Marketing!V46</f>
        <v>378619</v>
      </c>
      <c r="W49" s="1063">
        <f>Dean_Bus!W65+Accounting!W46+Finance!W46+Managemt!W54+Marketing!W46</f>
        <v>0</v>
      </c>
      <c r="X49" s="464">
        <f>Dean_Bus!X65+Accounting!X46+Finance!X46+Managemt!X54+Marketing!X46</f>
        <v>0</v>
      </c>
      <c r="Y49" s="1051"/>
      <c r="Z49" s="1049"/>
      <c r="AA49" s="583"/>
      <c r="AB49" s="100">
        <f t="shared" ref="AB49:AC49" si="4">AVERAGE(W49,U49,S49,Q49,Y49)</f>
        <v>1</v>
      </c>
      <c r="AC49" s="1125">
        <f t="shared" si="4"/>
        <v>627732</v>
      </c>
    </row>
    <row r="50" spans="1:29" ht="12" x14ac:dyDescent="0.2">
      <c r="B50" s="49" t="s">
        <v>105</v>
      </c>
      <c r="C50" s="475"/>
      <c r="D50" s="179"/>
      <c r="E50" s="475"/>
      <c r="F50" s="179"/>
      <c r="G50" s="475"/>
      <c r="H50" s="179"/>
      <c r="I50" s="475"/>
      <c r="J50" s="179"/>
      <c r="K50" s="475"/>
      <c r="L50" s="116"/>
      <c r="M50" s="475"/>
      <c r="N50" s="179"/>
      <c r="O50" s="475"/>
      <c r="P50" s="179"/>
      <c r="Q50" s="475"/>
      <c r="R50" s="179"/>
      <c r="S50" s="475"/>
      <c r="T50" s="179"/>
      <c r="U50" s="475"/>
      <c r="V50" s="179"/>
      <c r="W50" s="475"/>
      <c r="X50" s="179"/>
      <c r="Y50" s="1052"/>
      <c r="Z50" s="1053"/>
      <c r="AA50" s="583"/>
      <c r="AB50" s="475"/>
      <c r="AC50" s="1125"/>
    </row>
    <row r="51" spans="1:29" thickBot="1" x14ac:dyDescent="0.25">
      <c r="B51" s="877" t="s">
        <v>106</v>
      </c>
      <c r="C51" s="570">
        <f t="shared" ref="C51:L51" si="5">SUM(C49:C50)</f>
        <v>8</v>
      </c>
      <c r="D51" s="168">
        <f t="shared" si="5"/>
        <v>1021593</v>
      </c>
      <c r="E51" s="570">
        <f t="shared" si="5"/>
        <v>9</v>
      </c>
      <c r="F51" s="168">
        <f t="shared" si="5"/>
        <v>1830612</v>
      </c>
      <c r="G51" s="570">
        <f t="shared" si="5"/>
        <v>6</v>
      </c>
      <c r="H51" s="168">
        <f t="shared" si="5"/>
        <v>452592</v>
      </c>
      <c r="I51" s="570">
        <f t="shared" si="5"/>
        <v>10</v>
      </c>
      <c r="J51" s="168">
        <f t="shared" si="5"/>
        <v>1290178</v>
      </c>
      <c r="K51" s="570">
        <f t="shared" si="5"/>
        <v>5</v>
      </c>
      <c r="L51" s="57">
        <f t="shared" si="5"/>
        <v>243823</v>
      </c>
      <c r="M51" s="570">
        <f t="shared" ref="M51:R51" si="6">SUM(M49:M50)</f>
        <v>1</v>
      </c>
      <c r="N51" s="168">
        <f t="shared" si="6"/>
        <v>82711</v>
      </c>
      <c r="O51" s="570">
        <f t="shared" si="6"/>
        <v>4</v>
      </c>
      <c r="P51" s="168">
        <f t="shared" si="6"/>
        <v>415842</v>
      </c>
      <c r="Q51" s="570">
        <f t="shared" si="6"/>
        <v>2</v>
      </c>
      <c r="R51" s="168">
        <f t="shared" si="6"/>
        <v>2132309</v>
      </c>
      <c r="S51" s="570">
        <f t="shared" ref="S51:X51" si="7">SUM(S49:S50)</f>
        <v>0</v>
      </c>
      <c r="T51" s="168">
        <f t="shared" si="7"/>
        <v>0</v>
      </c>
      <c r="U51" s="570">
        <f t="shared" si="7"/>
        <v>2</v>
      </c>
      <c r="V51" s="168">
        <f t="shared" si="7"/>
        <v>378619</v>
      </c>
      <c r="W51" s="570">
        <f t="shared" si="7"/>
        <v>0</v>
      </c>
      <c r="X51" s="168">
        <f t="shared" si="7"/>
        <v>0</v>
      </c>
      <c r="Y51" s="1054"/>
      <c r="Z51" s="1055"/>
      <c r="AA51" s="583"/>
      <c r="AB51" s="570">
        <f t="shared" ref="AB51:AC51" si="8">AVERAGE(W51,U51,S51,Q51,Y51)</f>
        <v>1</v>
      </c>
      <c r="AC51" s="1127">
        <f t="shared" si="8"/>
        <v>627732</v>
      </c>
    </row>
    <row r="52" spans="1:29" ht="12" x14ac:dyDescent="0.2">
      <c r="B52" s="878" t="s">
        <v>15</v>
      </c>
      <c r="C52" s="474"/>
      <c r="D52" s="176"/>
      <c r="E52" s="474"/>
      <c r="F52" s="115"/>
      <c r="G52" s="339"/>
      <c r="H52" s="573"/>
      <c r="I52" s="412"/>
      <c r="J52" s="574"/>
      <c r="K52" s="575"/>
      <c r="L52" s="574"/>
      <c r="M52" s="575"/>
      <c r="N52" s="573"/>
      <c r="O52" s="575"/>
      <c r="P52" s="573"/>
      <c r="Q52" s="575"/>
      <c r="R52" s="573"/>
      <c r="S52" s="575"/>
      <c r="T52" s="573"/>
      <c r="U52" s="574"/>
      <c r="V52" s="573"/>
      <c r="W52" s="574"/>
      <c r="X52" s="573"/>
      <c r="Y52" s="574"/>
      <c r="Z52" s="573"/>
      <c r="AA52" s="583"/>
      <c r="AB52" s="575"/>
      <c r="AC52" s="687"/>
    </row>
    <row r="53" spans="1:29" ht="11.45" customHeight="1" x14ac:dyDescent="0.2">
      <c r="B53" s="879" t="s">
        <v>104</v>
      </c>
      <c r="C53" s="571">
        <f>Dean_Bus!C67+Accounting!C48+Finance!C48+Managemt!C56+Marketing!C48</f>
        <v>5</v>
      </c>
      <c r="D53" s="572">
        <f>Dean_Bus!D67+Accounting!D48+Finance!D48+Managemt!D56+Marketing!D48</f>
        <v>383381</v>
      </c>
      <c r="E53" s="571">
        <f>Dean_Bus!E67+Accounting!E48+Finance!E48+Managemt!E56+Marketing!E48</f>
        <v>4</v>
      </c>
      <c r="F53" s="572">
        <f>Dean_Bus!F67+Accounting!F48+Finance!F48+Managemt!F56+Marketing!F48</f>
        <v>376139</v>
      </c>
      <c r="G53" s="571">
        <f>Dean_Bus!G67+Accounting!G48+Finance!G48+Managemt!G56+Marketing!G48</f>
        <v>6</v>
      </c>
      <c r="H53" s="481">
        <f>Dean_Bus!H67+Accounting!H48+Finance!H48+Managemt!H56+Marketing!H48</f>
        <v>364450</v>
      </c>
      <c r="I53" s="571">
        <f>Dean_Bus!I67+Accounting!I48+Finance!I48+Managemt!I56+Marketing!I48</f>
        <v>6</v>
      </c>
      <c r="J53" s="481">
        <f>Dean_Bus!J67+Accounting!J48+Finance!J48+Managemt!J56+Marketing!J48</f>
        <v>450739</v>
      </c>
      <c r="K53" s="571">
        <f>Dean_Bus!K67+Accounting!K48+Finance!K48+Managemt!K56+Marketing!K48</f>
        <v>1</v>
      </c>
      <c r="L53" s="481">
        <f>Dean_Bus!L67+Accounting!L48+Finance!L48+Managemt!L56+Marketing!L48</f>
        <v>6750</v>
      </c>
      <c r="M53" s="571">
        <f>Dean_Bus!M67+Accounting!M48+Finance!M48+Managemt!M56+Marketing!M48</f>
        <v>2</v>
      </c>
      <c r="N53" s="572">
        <f>Dean_Bus!N67+Accounting!N48+Finance!N48+Managemt!N56+Marketing!N48</f>
        <v>26213</v>
      </c>
      <c r="O53" s="571">
        <f>Dean_Bus!O67+Accounting!O48+Finance!O48+Managemt!O56+Marketing!O48</f>
        <v>3</v>
      </c>
      <c r="P53" s="572">
        <f>Dean_Bus!P67+Accounting!P48+Finance!P48+Managemt!P56+Marketing!P48</f>
        <v>244212</v>
      </c>
      <c r="Q53" s="571">
        <f>Dean_Bus!Q67+Accounting!Q48+Finance!Q48+Managemt!Q56+Marketing!Q48</f>
        <v>4</v>
      </c>
      <c r="R53" s="572">
        <f>Dean_Bus!R67+Accounting!R48+Finance!R48+Managemt!R56+Marketing!R48</f>
        <v>42022</v>
      </c>
      <c r="S53" s="571">
        <f>Dean_Bus!S67+Accounting!S48+Finance!S48+Managemt!S56+Marketing!S48</f>
        <v>2</v>
      </c>
      <c r="T53" s="572">
        <f>Dean_Bus!T67+Accounting!T48+Finance!T48+Managemt!T56+Marketing!T48</f>
        <v>38002</v>
      </c>
      <c r="U53" s="1107">
        <f>Dean_Bus!U65+Accounting!U46+Finance!U46+Managemt!U54+Marketing!U46</f>
        <v>2</v>
      </c>
      <c r="V53" s="572">
        <f>Dean_Bus!V65+Accounting!V46+Finance!V46+Managemt!V54+Marketing!V46</f>
        <v>378619</v>
      </c>
      <c r="W53" s="1107">
        <f>Dean_Bus!W65+Accounting!W46+Finance!W46+Managemt!W54+Marketing!W46</f>
        <v>0</v>
      </c>
      <c r="X53" s="572">
        <f>Dean_Bus!X65+Accounting!X46+Finance!X46+Managemt!X54+Marketing!X46</f>
        <v>0</v>
      </c>
      <c r="Y53" s="1056"/>
      <c r="Z53" s="1057"/>
      <c r="AA53" s="583"/>
      <c r="AB53" s="100">
        <f t="shared" ref="AB53:AC53" si="9">AVERAGE(W53,U53,S53,Q53,Y53)</f>
        <v>2</v>
      </c>
      <c r="AC53" s="1125">
        <f t="shared" si="9"/>
        <v>114660.75</v>
      </c>
    </row>
    <row r="54" spans="1:29" ht="11.45" customHeight="1" x14ac:dyDescent="0.2">
      <c r="B54" s="49" t="s">
        <v>105</v>
      </c>
      <c r="C54" s="455"/>
      <c r="D54" s="479"/>
      <c r="E54" s="455"/>
      <c r="F54" s="479"/>
      <c r="G54" s="455"/>
      <c r="H54" s="482"/>
      <c r="I54" s="455"/>
      <c r="J54" s="483"/>
      <c r="K54" s="576"/>
      <c r="L54" s="483"/>
      <c r="M54" s="576"/>
      <c r="N54" s="482"/>
      <c r="O54" s="576"/>
      <c r="P54" s="482"/>
      <c r="Q54" s="576"/>
      <c r="R54" s="482"/>
      <c r="S54" s="576"/>
      <c r="T54" s="482"/>
      <c r="U54" s="576"/>
      <c r="V54" s="482"/>
      <c r="W54" s="576"/>
      <c r="X54" s="482"/>
      <c r="Y54" s="1058"/>
      <c r="Z54" s="1059"/>
      <c r="AA54" s="583"/>
      <c r="AB54" s="475"/>
      <c r="AC54" s="1125"/>
    </row>
    <row r="55" spans="1:29" s="126" customFormat="1" thickBot="1" x14ac:dyDescent="0.25">
      <c r="B55" s="880" t="s">
        <v>107</v>
      </c>
      <c r="C55" s="456">
        <f t="shared" ref="C55:J55" si="10">SUM(C53:C54)</f>
        <v>5</v>
      </c>
      <c r="D55" s="480">
        <f t="shared" si="10"/>
        <v>383381</v>
      </c>
      <c r="E55" s="456">
        <f t="shared" si="10"/>
        <v>4</v>
      </c>
      <c r="F55" s="480">
        <f t="shared" si="10"/>
        <v>376139</v>
      </c>
      <c r="G55" s="456">
        <f t="shared" si="10"/>
        <v>6</v>
      </c>
      <c r="H55" s="480">
        <f t="shared" si="10"/>
        <v>364450</v>
      </c>
      <c r="I55" s="477">
        <f t="shared" si="10"/>
        <v>6</v>
      </c>
      <c r="J55" s="480">
        <f t="shared" si="10"/>
        <v>450739</v>
      </c>
      <c r="K55" s="477">
        <f t="shared" ref="K55:P55" si="11">SUM(K53:K54)</f>
        <v>1</v>
      </c>
      <c r="L55" s="480">
        <f t="shared" si="11"/>
        <v>6750</v>
      </c>
      <c r="M55" s="477">
        <f t="shared" si="11"/>
        <v>2</v>
      </c>
      <c r="N55" s="480">
        <f t="shared" si="11"/>
        <v>26213</v>
      </c>
      <c r="O55" s="477">
        <f t="shared" si="11"/>
        <v>3</v>
      </c>
      <c r="P55" s="480">
        <f t="shared" si="11"/>
        <v>244212</v>
      </c>
      <c r="Q55" s="477">
        <f>SUM(Q53:Q54)</f>
        <v>4</v>
      </c>
      <c r="R55" s="480">
        <f>SUM(R53:R54)</f>
        <v>42022</v>
      </c>
      <c r="S55" s="477">
        <f>SUM(S53:S54)</f>
        <v>2</v>
      </c>
      <c r="T55" s="480">
        <f>SUM(T53:T54)</f>
        <v>38002</v>
      </c>
      <c r="U55" s="477">
        <f>Dean_Bus!U67+Accounting!U48+Finance!U48+Managemt!U56+Marketing!U48</f>
        <v>2</v>
      </c>
      <c r="V55" s="480">
        <f>Dean_Bus!V67+Accounting!V48+Finance!V48+Managemt!V56+Marketing!V48</f>
        <v>46416</v>
      </c>
      <c r="W55" s="477">
        <f>Dean_Bus!W67+Accounting!W48+Finance!W48+Managemt!W56+Marketing!W48</f>
        <v>2</v>
      </c>
      <c r="X55" s="480">
        <f>Dean_Bus!X67+Accounting!X48+Finance!X48+Managemt!X56+Marketing!X48</f>
        <v>11000</v>
      </c>
      <c r="Y55" s="1060"/>
      <c r="Z55" s="1061"/>
      <c r="AA55" s="773"/>
      <c r="AB55" s="570">
        <f t="shared" ref="AB55:AC55" si="12">AVERAGE(W55,U55,S55,Q55,Y55)</f>
        <v>2.5</v>
      </c>
      <c r="AC55" s="1127">
        <f t="shared" si="12"/>
        <v>34360</v>
      </c>
    </row>
    <row r="56" spans="1:29" ht="12" x14ac:dyDescent="0.2">
      <c r="B56" s="45" t="s">
        <v>66</v>
      </c>
      <c r="C56" s="175"/>
      <c r="D56" s="186"/>
      <c r="E56" s="114"/>
      <c r="F56" s="283"/>
      <c r="G56" s="289"/>
      <c r="H56" s="376"/>
      <c r="I56" s="368"/>
      <c r="J56" s="433"/>
      <c r="K56" s="289"/>
      <c r="L56" s="433"/>
      <c r="M56" s="289"/>
      <c r="N56" s="376"/>
      <c r="O56" s="368"/>
      <c r="P56" s="376"/>
      <c r="Q56" s="368"/>
      <c r="R56" s="376"/>
      <c r="S56" s="368"/>
      <c r="T56" s="376"/>
      <c r="U56" s="368"/>
      <c r="V56" s="376"/>
      <c r="W56" s="368"/>
      <c r="X56" s="376"/>
      <c r="Y56" s="368"/>
      <c r="Z56" s="376"/>
      <c r="AA56" s="583"/>
      <c r="AB56" s="762"/>
      <c r="AC56" s="687"/>
    </row>
    <row r="57" spans="1:29" ht="12" x14ac:dyDescent="0.2">
      <c r="B57" s="881" t="s">
        <v>67</v>
      </c>
      <c r="C57" s="177"/>
      <c r="D57" s="187"/>
      <c r="E57" s="39"/>
      <c r="F57" s="61"/>
      <c r="G57" s="290"/>
      <c r="H57" s="377"/>
      <c r="I57" s="257"/>
      <c r="J57" s="250"/>
      <c r="K57" s="290"/>
      <c r="L57" s="250"/>
      <c r="M57" s="290"/>
      <c r="N57" s="377"/>
      <c r="O57" s="257"/>
      <c r="P57" s="377"/>
      <c r="Q57" s="257"/>
      <c r="R57" s="377"/>
      <c r="S57" s="257"/>
      <c r="T57" s="377"/>
      <c r="U57" s="257"/>
      <c r="V57" s="377"/>
      <c r="W57" s="257"/>
      <c r="X57" s="377"/>
      <c r="Y57" s="257"/>
      <c r="Z57" s="377"/>
      <c r="AA57" s="583"/>
      <c r="AB57" s="760"/>
      <c r="AC57" s="1125"/>
    </row>
    <row r="58" spans="1:29" ht="12" x14ac:dyDescent="0.2">
      <c r="B58" s="882" t="s">
        <v>100</v>
      </c>
      <c r="C58" s="178"/>
      <c r="D58" s="179">
        <f>Dean_Bus!D70+Accounting!D51+Finance!D51+Managemt!D59+Marketing!D51</f>
        <v>1188919.5</v>
      </c>
      <c r="E58" s="37"/>
      <c r="F58" s="179">
        <f>Dean_Bus!F70+Accounting!F51+Finance!F51+Managemt!F59+Marketing!F51</f>
        <v>1883249.1500000001</v>
      </c>
      <c r="G58" s="291"/>
      <c r="H58" s="179">
        <f>Dean_Bus!H70+Accounting!H51+Finance!H51+Managemt!H59+Marketing!H51</f>
        <v>7751898.1200000001</v>
      </c>
      <c r="I58" s="369"/>
      <c r="J58" s="506">
        <f>Dean_Bus!J70+Accounting!J51+Finance!J51+Managemt!J59+Marketing!J51</f>
        <v>1876697.27</v>
      </c>
      <c r="K58" s="291"/>
      <c r="L58" s="116">
        <f>Dean_Bus!L70+Accounting!L51+Finance!L51+Managemt!L59+Marketing!L51</f>
        <v>2444612.1999999997</v>
      </c>
      <c r="M58" s="291"/>
      <c r="N58" s="179">
        <f>Dean_Bus!N70+Accounting!N51+Finance!N51+Managemt!N59+Marketing!N51</f>
        <v>1837355</v>
      </c>
      <c r="O58" s="291"/>
      <c r="P58" s="179">
        <f>Dean_Bus!P70+Accounting!P51+Finance!P51+Managemt!P59+Marketing!P51</f>
        <v>2095069</v>
      </c>
      <c r="Q58" s="369"/>
      <c r="R58" s="179">
        <f>Dean_Bus!R70+Accounting!R51+Finance!R51+Managemt!R59+Marketing!R51</f>
        <v>2064953.04</v>
      </c>
      <c r="S58" s="369"/>
      <c r="T58" s="179">
        <f>Dean_Bus!T70+Accounting!T51+Finance!T51+Managemt!T59+Marketing!T51</f>
        <v>2245769.7399999998</v>
      </c>
      <c r="U58" s="369"/>
      <c r="V58" s="179">
        <f>Dean_Bus!V70+Accounting!V51+Finance!V51+Managemt!V59+Marketing!V51</f>
        <v>9237863.1799999997</v>
      </c>
      <c r="W58" s="369"/>
      <c r="X58" s="179">
        <f>Dean_Bus!X70+Accounting!X51+Finance!X51+Managemt!X59+Marketing!X51</f>
        <v>28978687.32</v>
      </c>
      <c r="Y58" s="369"/>
      <c r="Z58" s="1053"/>
      <c r="AA58" s="583"/>
      <c r="AB58" s="760"/>
      <c r="AC58" s="1125">
        <f t="shared" ref="AC58:AC59" si="13">AVERAGE(X58,V58,T58,R58,P58)</f>
        <v>8924468.4560000002</v>
      </c>
    </row>
    <row r="59" spans="1:29" thickBot="1" x14ac:dyDescent="0.25">
      <c r="B59" s="883" t="s">
        <v>149</v>
      </c>
      <c r="C59" s="180"/>
      <c r="D59" s="189">
        <f>+Dean_Bus!D71+Accounting!D52+Finance!D52+Managemt!D60+Marketing!D52</f>
        <v>2357875.5900000003</v>
      </c>
      <c r="E59" s="38"/>
      <c r="F59" s="127">
        <f>+Dean_Bus!F71+Accounting!F52+Finance!F52+Managemt!F60+Marketing!F52</f>
        <v>3133317.29</v>
      </c>
      <c r="G59" s="292"/>
      <c r="H59" s="127">
        <f>+Dean_Bus!H71+Accounting!H52+Finance!H52+Managemt!H60+Marketing!H52</f>
        <v>9756419.3399999999</v>
      </c>
      <c r="I59" s="292"/>
      <c r="J59" s="127">
        <f>+Dean_Bus!J71+Accounting!J52+Finance!J52+Managemt!J60+Marketing!J52</f>
        <v>12079581.869999999</v>
      </c>
      <c r="K59" s="292"/>
      <c r="L59" s="127">
        <f>+Dean_Bus!L71+Accounting!L52+Finance!L52+Managemt!L60+Marketing!L52</f>
        <v>11872993.75</v>
      </c>
      <c r="M59" s="292"/>
      <c r="N59" s="912">
        <f>+Dean_Bus!N71+Accounting!N52+Finance!N52+Managemt!N60+Marketing!N52</f>
        <v>9946826.0999999996</v>
      </c>
      <c r="O59" s="292"/>
      <c r="P59" s="912">
        <f>+Dean_Bus!P71+Accounting!P52+Finance!P52+Managemt!P60+Marketing!P52</f>
        <v>11223509</v>
      </c>
      <c r="Q59" s="370"/>
      <c r="R59" s="912">
        <f>+Dean_Bus!R71+Accounting!R52+Finance!R52+Managemt!R60+Marketing!R52</f>
        <v>13873133.619999999</v>
      </c>
      <c r="S59" s="370"/>
      <c r="T59" s="912">
        <f>+Dean_Bus!T71+Accounting!T52+Finance!T52+Managemt!T60+Marketing!T52</f>
        <v>13586219.24</v>
      </c>
      <c r="U59" s="370"/>
      <c r="V59" s="912">
        <f>+Dean_Bus!V71+Accounting!V52+Finance!V52+Managemt!V60+Marketing!V52</f>
        <v>14978499.48</v>
      </c>
      <c r="W59" s="370"/>
      <c r="X59" s="912">
        <f>+Dean_Bus!X71+Accounting!X52+Finance!X52+Managemt!X60+Marketing!X52</f>
        <v>17570256.469999999</v>
      </c>
      <c r="Y59" s="370"/>
      <c r="Z59" s="1062"/>
      <c r="AA59" s="583"/>
      <c r="AB59" s="761"/>
      <c r="AC59" s="686">
        <f t="shared" si="13"/>
        <v>14246323.562000001</v>
      </c>
    </row>
    <row r="60" spans="1:29" thickTop="1" x14ac:dyDescent="0.2">
      <c r="B60" s="128" t="s">
        <v>103</v>
      </c>
      <c r="C60" s="1"/>
      <c r="D60" s="1"/>
      <c r="E60" s="1"/>
      <c r="F60" s="1"/>
      <c r="G60" s="245"/>
      <c r="H60" s="245"/>
      <c r="I60" s="245"/>
      <c r="J60" s="245"/>
      <c r="K60" s="245"/>
      <c r="L60" s="245"/>
      <c r="M60" s="245"/>
      <c r="N60" s="245"/>
      <c r="O60" s="245"/>
      <c r="P60" s="245"/>
      <c r="Q60" s="245"/>
      <c r="R60" s="245"/>
      <c r="S60" s="245"/>
      <c r="T60" s="245"/>
      <c r="U60" s="245"/>
      <c r="V60" s="245"/>
      <c r="W60" s="245"/>
      <c r="X60" s="245"/>
      <c r="Y60" s="245"/>
      <c r="Z60" s="245"/>
      <c r="AC60" s="126"/>
    </row>
    <row r="61" spans="1:29" ht="12" x14ac:dyDescent="0.2">
      <c r="C61" s="1"/>
      <c r="D61" s="1"/>
      <c r="E61" s="1"/>
      <c r="F61" s="1"/>
      <c r="G61" s="245"/>
      <c r="H61" s="245"/>
      <c r="I61" s="245"/>
      <c r="J61" s="245"/>
      <c r="K61" s="253"/>
      <c r="L61" s="245"/>
      <c r="M61" s="253"/>
      <c r="N61" s="245"/>
      <c r="O61" s="253"/>
      <c r="P61" s="245"/>
      <c r="Q61" s="253"/>
      <c r="R61" s="245"/>
      <c r="S61" s="253"/>
      <c r="T61" s="245"/>
      <c r="U61" s="253"/>
      <c r="V61" s="245"/>
      <c r="W61" s="253"/>
      <c r="X61" s="245"/>
      <c r="Y61" s="253"/>
      <c r="Z61" s="245"/>
    </row>
    <row r="62" spans="1:29" x14ac:dyDescent="0.2">
      <c r="A62" s="3" t="s">
        <v>62</v>
      </c>
      <c r="B62" s="128"/>
      <c r="C62" s="1"/>
      <c r="D62" s="1"/>
      <c r="E62" s="1"/>
      <c r="F62" s="1"/>
      <c r="G62" s="245"/>
      <c r="H62" s="245"/>
      <c r="I62" s="245"/>
      <c r="J62" s="245"/>
      <c r="K62" s="245"/>
      <c r="L62" s="245"/>
      <c r="M62" s="245"/>
      <c r="N62" s="245"/>
      <c r="O62" s="245"/>
      <c r="P62" s="245"/>
      <c r="Q62" s="245"/>
      <c r="R62" s="245"/>
      <c r="S62" s="245"/>
      <c r="T62" s="245"/>
      <c r="U62" s="245"/>
      <c r="V62" s="245"/>
      <c r="W62" s="245"/>
      <c r="X62" s="245"/>
      <c r="Y62" s="245"/>
      <c r="Z62" s="245"/>
    </row>
    <row r="63" spans="1:29" thickBot="1" x14ac:dyDescent="0.25">
      <c r="B63" s="128"/>
      <c r="C63" s="1"/>
      <c r="D63" s="1"/>
      <c r="E63" s="1"/>
      <c r="F63" s="1"/>
      <c r="G63" s="245"/>
      <c r="H63" s="245"/>
      <c r="I63" s="245"/>
      <c r="J63" s="245"/>
      <c r="K63" s="245"/>
      <c r="L63" s="245"/>
      <c r="M63" s="245"/>
      <c r="N63" s="245"/>
      <c r="O63" s="245"/>
      <c r="P63" s="245"/>
      <c r="Q63" s="245"/>
      <c r="R63" s="245"/>
      <c r="S63" s="245"/>
      <c r="T63" s="245"/>
      <c r="U63" s="245"/>
      <c r="V63" s="245"/>
      <c r="W63" s="245"/>
      <c r="X63" s="245"/>
      <c r="Y63" s="245"/>
      <c r="Z63" s="245"/>
    </row>
    <row r="64" spans="1:29" ht="13.5" thickTop="1" thickBot="1" x14ac:dyDescent="0.25">
      <c r="B64" s="866"/>
      <c r="C64" s="235" t="s">
        <v>39</v>
      </c>
      <c r="D64" s="143"/>
      <c r="E64" s="142" t="s">
        <v>40</v>
      </c>
      <c r="F64" s="142"/>
      <c r="G64" s="296" t="s">
        <v>97</v>
      </c>
      <c r="H64" s="419"/>
      <c r="I64" s="1150" t="s">
        <v>108</v>
      </c>
      <c r="J64" s="1133"/>
      <c r="K64" s="1150" t="s">
        <v>109</v>
      </c>
      <c r="L64" s="1133"/>
      <c r="M64" s="1150" t="s">
        <v>111</v>
      </c>
      <c r="N64" s="1134"/>
      <c r="O64" s="1133" t="s">
        <v>164</v>
      </c>
      <c r="P64" s="1134"/>
      <c r="Q64" s="1133" t="s">
        <v>169</v>
      </c>
      <c r="R64" s="1134"/>
      <c r="S64" s="1133" t="s">
        <v>176</v>
      </c>
      <c r="T64" s="1134"/>
      <c r="U64" s="1133" t="s">
        <v>179</v>
      </c>
      <c r="V64" s="1134"/>
      <c r="W64" s="1133" t="s">
        <v>183</v>
      </c>
      <c r="X64" s="1134"/>
      <c r="Y64" s="1133" t="s">
        <v>187</v>
      </c>
      <c r="Z64" s="1134"/>
      <c r="AB64" s="1197" t="s">
        <v>118</v>
      </c>
      <c r="AC64" s="1222"/>
    </row>
    <row r="65" spans="2:29" ht="12" x14ac:dyDescent="0.2">
      <c r="B65" s="873" t="s">
        <v>43</v>
      </c>
      <c r="C65" s="149"/>
      <c r="D65" s="150"/>
      <c r="E65" s="33"/>
      <c r="F65" s="33"/>
      <c r="G65" s="285"/>
      <c r="H65" s="360"/>
      <c r="I65" s="285"/>
      <c r="J65" s="358"/>
      <c r="K65" s="285"/>
      <c r="L65" s="358"/>
      <c r="M65" s="285"/>
      <c r="N65" s="360"/>
      <c r="O65" s="366"/>
      <c r="P65" s="360"/>
      <c r="Q65" s="366"/>
      <c r="R65" s="360"/>
      <c r="S65" s="366"/>
      <c r="T65" s="360"/>
      <c r="U65" s="366"/>
      <c r="V65" s="360"/>
      <c r="W65" s="366"/>
      <c r="X65" s="360"/>
      <c r="Y65" s="366"/>
      <c r="Z65" s="360"/>
      <c r="AA65" s="583"/>
      <c r="AC65" s="583"/>
    </row>
    <row r="66" spans="2:29" ht="12" x14ac:dyDescent="0.2">
      <c r="B66" s="46" t="s">
        <v>44</v>
      </c>
      <c r="C66" s="151"/>
      <c r="D66" s="191"/>
      <c r="E66" s="34"/>
      <c r="F66" s="117"/>
      <c r="G66" s="281"/>
      <c r="H66" s="383"/>
      <c r="I66" s="281"/>
      <c r="J66" s="259"/>
      <c r="K66" s="281"/>
      <c r="L66" s="259"/>
      <c r="M66" s="281"/>
      <c r="N66" s="383"/>
      <c r="O66" s="254"/>
      <c r="P66" s="383"/>
      <c r="Q66" s="254"/>
      <c r="R66" s="383"/>
      <c r="S66" s="254"/>
      <c r="T66" s="383"/>
      <c r="U66" s="254"/>
      <c r="V66" s="383"/>
      <c r="W66" s="254"/>
      <c r="X66" s="383"/>
      <c r="Y66" s="254"/>
      <c r="Z66" s="383"/>
      <c r="AA66" s="583"/>
      <c r="AC66" s="583"/>
    </row>
    <row r="67" spans="2:29" ht="12" x14ac:dyDescent="0.2">
      <c r="B67" s="47" t="s">
        <v>45</v>
      </c>
      <c r="C67" s="149"/>
      <c r="D67" s="153">
        <f>Dean_Bus!D78+Accounting!D61+Finance!D59+Managemt!D67+Marketing!D59</f>
        <v>51</v>
      </c>
      <c r="E67" s="34"/>
      <c r="F67" s="117">
        <f>Dean_Bus!F78+Accounting!F61+Finance!F59+Managemt!F67+Marketing!F59</f>
        <v>53</v>
      </c>
      <c r="G67" s="281"/>
      <c r="H67" s="383">
        <f>Dean_Bus!H78+Accounting!H61+Finance!H59+Managemt!H67+Marketing!H59</f>
        <v>51</v>
      </c>
      <c r="I67" s="281"/>
      <c r="J67" s="259">
        <f>Dean_Bus!J78+Accounting!J61+Finance!J59+Managemt!J67+Marketing!J59</f>
        <v>50</v>
      </c>
      <c r="K67" s="281"/>
      <c r="L67" s="259">
        <f>Dean_Bus!L78+Accounting!L61+Finance!L59+Managemt!L67+Marketing!L59</f>
        <v>54</v>
      </c>
      <c r="M67" s="281"/>
      <c r="N67" s="383">
        <f>Dean_Bus!N78+Accounting!N61+Finance!N59+Managemt!N67+Marketing!N59</f>
        <v>56</v>
      </c>
      <c r="O67" s="254"/>
      <c r="P67" s="383">
        <f>Dean_Bus!P78+Accounting!P61+Finance!P59+Managemt!P67+Marketing!P59</f>
        <v>51</v>
      </c>
      <c r="Q67" s="254"/>
      <c r="R67" s="383">
        <f>Dean_Bus!R78+Accounting!R61+Finance!R59+Managemt!R67+Marketing!R59</f>
        <v>53</v>
      </c>
      <c r="S67" s="254"/>
      <c r="T67" s="383">
        <f>Dean_Bus!T78+Accounting!T61+Finance!T59+Managemt!T67+Marketing!T59</f>
        <v>58</v>
      </c>
      <c r="U67" s="254"/>
      <c r="V67" s="383">
        <f>Dean_Bus!V78+Accounting!V61+Finance!V59+Managemt!V67+Marketing!V59</f>
        <v>60</v>
      </c>
      <c r="W67" s="254"/>
      <c r="X67" s="383">
        <f>Dean_Bus!X78+Accounting!X61+Finance!X59+Managemt!X67+Marketing!X59</f>
        <v>58</v>
      </c>
      <c r="Y67" s="254"/>
      <c r="Z67" s="383">
        <f>Dean_Bus!Z78+Accounting!Z61+Finance!Z59+Managemt!Z67+Marketing!Z59</f>
        <v>59</v>
      </c>
      <c r="AA67" s="583"/>
      <c r="AC67" s="601">
        <f t="shared" ref="AC67:AC68" si="14">AVERAGE(X67,V67,T67,R67,Z67)</f>
        <v>57.6</v>
      </c>
    </row>
    <row r="68" spans="2:29" ht="12" x14ac:dyDescent="0.2">
      <c r="B68" s="47" t="s">
        <v>144</v>
      </c>
      <c r="C68" s="151"/>
      <c r="D68" s="153">
        <f>Dean_Bus!D79+Accounting!D62+Finance!D60+Managemt!D68+Marketing!D60</f>
        <v>6</v>
      </c>
      <c r="E68" s="34"/>
      <c r="F68" s="117">
        <f>Dean_Bus!F79+Accounting!F62+Finance!F60+Managemt!F68+Marketing!F60</f>
        <v>7</v>
      </c>
      <c r="G68" s="281"/>
      <c r="H68" s="383">
        <f>Dean_Bus!H79+Accounting!H62+Finance!H60+Managemt!H68+Marketing!H60</f>
        <v>10</v>
      </c>
      <c r="I68" s="281"/>
      <c r="J68" s="259">
        <f>Dean_Bus!J79+Accounting!J62+Finance!J60+Managemt!J68+Marketing!J60</f>
        <v>9</v>
      </c>
      <c r="K68" s="281"/>
      <c r="L68" s="259">
        <f>Dean_Bus!L79+Accounting!L62+Finance!L60+Managemt!L68+Marketing!L60</f>
        <v>10</v>
      </c>
      <c r="M68" s="281"/>
      <c r="N68" s="383">
        <f>Dean_Bus!N79+Accounting!N62+Finance!N60+Managemt!N68+Marketing!N60</f>
        <v>9</v>
      </c>
      <c r="O68" s="254"/>
      <c r="P68" s="383">
        <f>Dean_Bus!P79+Accounting!P62+Finance!P60+Managemt!P68+Marketing!P60</f>
        <v>8</v>
      </c>
      <c r="Q68" s="254"/>
      <c r="R68" s="383">
        <f>Dean_Bus!R79+Accounting!R62+Finance!R60+Managemt!R68+Marketing!R60</f>
        <v>7</v>
      </c>
      <c r="S68" s="254"/>
      <c r="T68" s="383">
        <f>Dean_Bus!T79+Accounting!T62+Finance!T60+Managemt!T68+Marketing!T60</f>
        <v>8</v>
      </c>
      <c r="U68" s="254"/>
      <c r="V68" s="383">
        <f>Dean_Bus!V79+Accounting!V62+Finance!V60+Managemt!V68+Marketing!V60</f>
        <v>5</v>
      </c>
      <c r="W68" s="254"/>
      <c r="X68" s="383">
        <f>Dean_Bus!X79+Accounting!X62+Finance!X60+Managemt!X68+Marketing!X60</f>
        <v>8</v>
      </c>
      <c r="Y68" s="254"/>
      <c r="Z68" s="383">
        <f>Dean_Bus!Z79+Accounting!Z62+Finance!Z60+Managemt!Z68+Marketing!Z60</f>
        <v>7</v>
      </c>
      <c r="AA68" s="583"/>
      <c r="AC68" s="601">
        <f t="shared" si="14"/>
        <v>7</v>
      </c>
    </row>
    <row r="69" spans="2:29" ht="12" x14ac:dyDescent="0.2">
      <c r="B69" s="46" t="s">
        <v>46</v>
      </c>
      <c r="C69" s="151"/>
      <c r="D69" s="153"/>
      <c r="E69" s="34"/>
      <c r="F69" s="53"/>
      <c r="G69" s="281"/>
      <c r="H69" s="363"/>
      <c r="I69" s="281"/>
      <c r="J69" s="121"/>
      <c r="K69" s="281"/>
      <c r="L69" s="121"/>
      <c r="M69" s="281"/>
      <c r="N69" s="363"/>
      <c r="O69" s="254"/>
      <c r="P69" s="363"/>
      <c r="Q69" s="254"/>
      <c r="R69" s="363"/>
      <c r="S69" s="254"/>
      <c r="T69" s="363"/>
      <c r="U69" s="254"/>
      <c r="V69" s="363"/>
      <c r="W69" s="254"/>
      <c r="X69" s="363"/>
      <c r="Y69" s="254"/>
      <c r="Z69" s="363"/>
      <c r="AA69" s="583"/>
      <c r="AC69" s="601"/>
    </row>
    <row r="70" spans="2:29" ht="12" x14ac:dyDescent="0.2">
      <c r="B70" s="47" t="s">
        <v>45</v>
      </c>
      <c r="C70" s="151"/>
      <c r="D70" s="153">
        <f>Dean_Bus!D81+Accounting!D64+Finance!D62+Managemt!D70+Marketing!D62</f>
        <v>0</v>
      </c>
      <c r="E70" s="34"/>
      <c r="F70" s="53">
        <f>Dean_Bus!F81+Accounting!F64+Finance!F62+Managemt!F70+Marketing!F62</f>
        <v>0</v>
      </c>
      <c r="G70" s="281"/>
      <c r="H70" s="363">
        <f>Dean_Bus!H81+Accounting!H64+Finance!H62+Managemt!H70+Marketing!H62</f>
        <v>0</v>
      </c>
      <c r="I70" s="281"/>
      <c r="J70" s="121">
        <f>Dean_Bus!J81+Accounting!J64+Finance!J62+Managemt!J70+Marketing!J62</f>
        <v>0</v>
      </c>
      <c r="K70" s="281"/>
      <c r="L70" s="121">
        <f>Dean_Bus!L81+Accounting!L64+Finance!L62+Managemt!L70+Marketing!L62</f>
        <v>0</v>
      </c>
      <c r="M70" s="281"/>
      <c r="N70" s="363">
        <f>Dean_Bus!N81+Accounting!N64+Finance!N62+Managemt!N70+Marketing!N62</f>
        <v>1</v>
      </c>
      <c r="O70" s="254"/>
      <c r="P70" s="363">
        <f>Dean_Bus!P81+Accounting!P64+Finance!P62+Managemt!P70+Marketing!P62</f>
        <v>1</v>
      </c>
      <c r="Q70" s="254"/>
      <c r="R70" s="363">
        <f>Dean_Bus!R81+Accounting!R64+Finance!R62+Managemt!R70+Marketing!R62</f>
        <v>0</v>
      </c>
      <c r="S70" s="254"/>
      <c r="T70" s="363">
        <f>Dean_Bus!T81+Accounting!T64+Finance!T62+Managemt!T70+Marketing!T62</f>
        <v>0</v>
      </c>
      <c r="U70" s="254"/>
      <c r="V70" s="363">
        <f>Dean_Bus!V81+Accounting!V64+Finance!V62+Managemt!V70+Marketing!V62</f>
        <v>0</v>
      </c>
      <c r="W70" s="254"/>
      <c r="X70" s="363">
        <f>Dean_Bus!X81+Accounting!X64+Finance!X62+Managemt!X70+Marketing!X62</f>
        <v>0</v>
      </c>
      <c r="Y70" s="254"/>
      <c r="Z70" s="363">
        <f>Dean_Bus!Z81+Accounting!Z64+Finance!Z62+Managemt!Z70+Marketing!Z62</f>
        <v>0</v>
      </c>
      <c r="AA70" s="583"/>
      <c r="AC70" s="601">
        <f t="shared" ref="AC70:AC72" si="15">AVERAGE(X70,V70,T70,R70,Z70)</f>
        <v>0</v>
      </c>
    </row>
    <row r="71" spans="2:29" ht="12" x14ac:dyDescent="0.2">
      <c r="B71" s="615" t="s">
        <v>144</v>
      </c>
      <c r="C71" s="217"/>
      <c r="D71" s="153">
        <f>Dean_Bus!D82+Accounting!D65+Finance!D63+Managemt!D71+Marketing!D63</f>
        <v>1</v>
      </c>
      <c r="E71" s="107"/>
      <c r="F71" s="293">
        <f>Dean_Bus!F82+Accounting!F65+Finance!F63+Managemt!F71+Marketing!F63</f>
        <v>0</v>
      </c>
      <c r="G71" s="556"/>
      <c r="H71" s="420">
        <f>Dean_Bus!H82+Accounting!H65+Finance!H63+Managemt!H71+Marketing!H63</f>
        <v>0</v>
      </c>
      <c r="I71" s="556"/>
      <c r="J71" s="449">
        <f>Dean_Bus!J82+Accounting!J65+Finance!J63+Managemt!J71+Marketing!J63</f>
        <v>0</v>
      </c>
      <c r="K71" s="556"/>
      <c r="L71" s="449">
        <f>Dean_Bus!L82+Accounting!L65+Finance!L63+Managemt!L71+Marketing!L63</f>
        <v>0</v>
      </c>
      <c r="M71" s="556"/>
      <c r="N71" s="420">
        <f>Dean_Bus!N82+Accounting!N65+Finance!N63+Managemt!N71+Marketing!N63</f>
        <v>0</v>
      </c>
      <c r="O71" s="851"/>
      <c r="P71" s="420">
        <f>Dean_Bus!P82+Accounting!P65+Finance!P63+Managemt!P71+Marketing!P63</f>
        <v>0</v>
      </c>
      <c r="Q71" s="851"/>
      <c r="R71" s="420">
        <f>Dean_Bus!R82+Accounting!R65+Finance!R63+Managemt!R71+Marketing!R63</f>
        <v>0</v>
      </c>
      <c r="S71" s="851"/>
      <c r="T71" s="420">
        <f>Dean_Bus!T82+Accounting!T65+Finance!T63+Managemt!T71+Marketing!T63</f>
        <v>0</v>
      </c>
      <c r="U71" s="851"/>
      <c r="V71" s="420">
        <f>Dean_Bus!V82+Accounting!V65+Finance!V63+Managemt!V71+Marketing!V63</f>
        <v>0</v>
      </c>
      <c r="W71" s="851"/>
      <c r="X71" s="420">
        <f>Dean_Bus!X82+Accounting!X65+Finance!X63+Managemt!X71+Marketing!X63</f>
        <v>0</v>
      </c>
      <c r="Y71" s="851"/>
      <c r="Z71" s="420">
        <f>Dean_Bus!Z82+Accounting!Z65+Finance!Z63+Managemt!Z71+Marketing!Z63</f>
        <v>0</v>
      </c>
      <c r="AA71" s="583"/>
      <c r="AC71" s="601">
        <f t="shared" si="15"/>
        <v>0</v>
      </c>
    </row>
    <row r="72" spans="2:29" thickBot="1" x14ac:dyDescent="0.25">
      <c r="B72" s="884" t="s">
        <v>12</v>
      </c>
      <c r="C72" s="236"/>
      <c r="D72" s="241">
        <f>SUM(D67:D71)</f>
        <v>58</v>
      </c>
      <c r="E72" s="140"/>
      <c r="F72" s="54">
        <f>SUM(F67:F71)</f>
        <v>60</v>
      </c>
      <c r="G72" s="557"/>
      <c r="H72" s="421">
        <f>SUM(H67:H71)</f>
        <v>61</v>
      </c>
      <c r="I72" s="557"/>
      <c r="J72" s="450">
        <f>SUM(J67:J71)</f>
        <v>59</v>
      </c>
      <c r="K72" s="557"/>
      <c r="L72" s="450">
        <f>SUM(L67:L71)</f>
        <v>64</v>
      </c>
      <c r="M72" s="557"/>
      <c r="N72" s="421">
        <f>SUM(N67:N71)</f>
        <v>66</v>
      </c>
      <c r="O72" s="852"/>
      <c r="P72" s="421">
        <f>SUM(P67:P71)</f>
        <v>60</v>
      </c>
      <c r="Q72" s="852"/>
      <c r="R72" s="421">
        <f>SUM(R67:R71)</f>
        <v>60</v>
      </c>
      <c r="S72" s="852"/>
      <c r="T72" s="421">
        <f>SUM(T67:T71)</f>
        <v>66</v>
      </c>
      <c r="U72" s="852"/>
      <c r="V72" s="421">
        <f>SUM(V67:V71)</f>
        <v>65</v>
      </c>
      <c r="W72" s="852"/>
      <c r="X72" s="421">
        <f>SUM(X67:X71)</f>
        <v>66</v>
      </c>
      <c r="Y72" s="852"/>
      <c r="Z72" s="421">
        <f>SUM(Z67:Z71)</f>
        <v>66</v>
      </c>
      <c r="AB72" s="604"/>
      <c r="AC72" s="668">
        <f t="shared" si="15"/>
        <v>64.599999999999994</v>
      </c>
    </row>
    <row r="73" spans="2:29" thickTop="1" x14ac:dyDescent="0.2">
      <c r="B73" s="885" t="s">
        <v>92</v>
      </c>
      <c r="C73" s="237" t="s">
        <v>89</v>
      </c>
      <c r="D73" s="238" t="s">
        <v>90</v>
      </c>
      <c r="E73" s="141" t="s">
        <v>89</v>
      </c>
      <c r="F73" s="233" t="s">
        <v>90</v>
      </c>
      <c r="G73" s="297" t="s">
        <v>89</v>
      </c>
      <c r="H73" s="422" t="s">
        <v>90</v>
      </c>
      <c r="I73" s="414" t="s">
        <v>89</v>
      </c>
      <c r="J73" s="451" t="s">
        <v>90</v>
      </c>
      <c r="K73" s="297" t="s">
        <v>89</v>
      </c>
      <c r="L73" s="451" t="s">
        <v>90</v>
      </c>
      <c r="M73" s="297" t="s">
        <v>89</v>
      </c>
      <c r="N73" s="422" t="s">
        <v>90</v>
      </c>
      <c r="O73" s="414" t="s">
        <v>89</v>
      </c>
      <c r="P73" s="422" t="s">
        <v>90</v>
      </c>
      <c r="Q73" s="414" t="s">
        <v>89</v>
      </c>
      <c r="R73" s="422" t="s">
        <v>90</v>
      </c>
      <c r="S73" s="414" t="s">
        <v>89</v>
      </c>
      <c r="T73" s="422" t="s">
        <v>90</v>
      </c>
      <c r="U73" s="414" t="s">
        <v>89</v>
      </c>
      <c r="V73" s="422" t="s">
        <v>90</v>
      </c>
      <c r="W73" s="414" t="s">
        <v>89</v>
      </c>
      <c r="X73" s="422" t="s">
        <v>90</v>
      </c>
      <c r="Y73" s="414" t="s">
        <v>89</v>
      </c>
      <c r="Z73" s="422" t="s">
        <v>90</v>
      </c>
      <c r="AB73" s="737" t="s">
        <v>89</v>
      </c>
      <c r="AC73" s="694" t="s">
        <v>90</v>
      </c>
    </row>
    <row r="74" spans="2:29" ht="12" x14ac:dyDescent="0.2">
      <c r="B74" s="47" t="s">
        <v>73</v>
      </c>
      <c r="C74" s="242">
        <f>Dean_Bus!C85+Accounting!C68+Finance!C66+Managemt!C74+Marketing!C66</f>
        <v>47</v>
      </c>
      <c r="D74" s="239">
        <f>C74/D$72</f>
        <v>0.81034482758620685</v>
      </c>
      <c r="E74" s="137">
        <f>Dean_Bus!E85+Accounting!E68+Finance!E66+Managemt!E74+Marketing!E66</f>
        <v>49</v>
      </c>
      <c r="F74" s="294">
        <f t="shared" ref="F74:H81" si="16">E74/F$72</f>
        <v>0.81666666666666665</v>
      </c>
      <c r="G74" s="319">
        <f>Dean_Bus!G85+Accounting!G68+Finance!G66+Managemt!G74+Marketing!G66</f>
        <v>48</v>
      </c>
      <c r="H74" s="388">
        <f t="shared" si="16"/>
        <v>0.78688524590163933</v>
      </c>
      <c r="I74" s="404">
        <f>Dean_Bus!I85+Accounting!I68+Finance!I66+Managemt!I74+Marketing!I66</f>
        <v>50</v>
      </c>
      <c r="J74" s="234">
        <f t="shared" ref="J74:L81" si="17">I74/J$72</f>
        <v>0.84745762711864403</v>
      </c>
      <c r="K74" s="319">
        <f>Dean_Bus!K85+Accounting!K68+Finance!K66+Managemt!K74+Marketing!K66</f>
        <v>49</v>
      </c>
      <c r="L74" s="234">
        <f t="shared" si="17"/>
        <v>0.765625</v>
      </c>
      <c r="M74" s="319">
        <f>Dean_Bus!M85+Accounting!M68+Finance!M66+Managemt!M74+Marketing!M66</f>
        <v>51</v>
      </c>
      <c r="N74" s="388">
        <f t="shared" ref="N74:P81" si="18">M74/N$72</f>
        <v>0.77272727272727271</v>
      </c>
      <c r="O74" s="404">
        <f>Dean_Bus!O85+Accounting!O68+Finance!O66+Managemt!O74+Marketing!O66</f>
        <v>48</v>
      </c>
      <c r="P74" s="388">
        <f t="shared" si="18"/>
        <v>0.8</v>
      </c>
      <c r="Q74" s="404">
        <f>Dean_Bus!Q85+Accounting!Q68+Finance!Q66+Managemt!Q74+Marketing!Q66</f>
        <v>45</v>
      </c>
      <c r="R74" s="388">
        <f t="shared" ref="R74:R79" si="19">Q74/R$72</f>
        <v>0.75</v>
      </c>
      <c r="S74" s="404">
        <f>Dean_Bus!S85+Accounting!S68+Finance!S66+Managemt!S74+Marketing!S66</f>
        <v>48</v>
      </c>
      <c r="T74" s="386">
        <f t="shared" ref="T74:T79" si="20">S74/T$72</f>
        <v>0.72727272727272729</v>
      </c>
      <c r="U74" s="404">
        <f>Dean_Bus!U85+Accounting!U68+Finance!U66+Managemt!U74+Marketing!U66</f>
        <v>45</v>
      </c>
      <c r="V74" s="386">
        <f t="shared" ref="V74:V79" si="21">U74/V$72</f>
        <v>0.69230769230769229</v>
      </c>
      <c r="W74" s="404">
        <f>Dean_Bus!W85+Accounting!W68+Finance!W66+Managemt!W74+Marketing!W66</f>
        <v>47</v>
      </c>
      <c r="X74" s="386">
        <f t="shared" ref="X74:X79" si="22">W74/X$72</f>
        <v>0.71212121212121215</v>
      </c>
      <c r="Y74" s="404">
        <f>Dean_Bus!Y85+Accounting!Y68+Finance!Y66+Managemt!Y74+Marketing!Y66</f>
        <v>46</v>
      </c>
      <c r="Z74" s="386">
        <f t="shared" ref="Z74:Z79" si="23">Y74/Z$72</f>
        <v>0.69696969696969702</v>
      </c>
      <c r="AB74" s="666">
        <f t="shared" ref="AB74:AB81" si="24">AVERAGE(W74,U74,S74,Q74,Y74)</f>
        <v>46.2</v>
      </c>
      <c r="AC74" s="692">
        <f>AVERAGE(X74,V74,T74,R74,Z74)</f>
        <v>0.7157342657342658</v>
      </c>
    </row>
    <row r="75" spans="2:29" ht="12" x14ac:dyDescent="0.2">
      <c r="B75" s="886" t="s">
        <v>74</v>
      </c>
      <c r="C75" s="242">
        <f>Dean_Bus!C86+Accounting!C69+Finance!C67+Managemt!C75+Marketing!C67</f>
        <v>2</v>
      </c>
      <c r="D75" s="239">
        <f t="shared" ref="D75:D93" si="25">C75/$D$72</f>
        <v>3.4482758620689655E-2</v>
      </c>
      <c r="E75" s="137">
        <f>Dean_Bus!E86+Accounting!E69+Finance!E67+Managemt!E75+Marketing!E67</f>
        <v>2</v>
      </c>
      <c r="F75" s="294">
        <f t="shared" si="16"/>
        <v>3.3333333333333333E-2</v>
      </c>
      <c r="G75" s="319">
        <f>Dean_Bus!G86+Accounting!G69+Finance!G67+Managemt!G75+Marketing!G67</f>
        <v>1</v>
      </c>
      <c r="H75" s="388">
        <f t="shared" si="16"/>
        <v>1.6393442622950821E-2</v>
      </c>
      <c r="I75" s="404">
        <f>Dean_Bus!I86+Accounting!I69+Finance!I67+Managemt!I75+Marketing!I67</f>
        <v>1</v>
      </c>
      <c r="J75" s="234">
        <f t="shared" si="17"/>
        <v>1.6949152542372881E-2</v>
      </c>
      <c r="K75" s="319">
        <f>Dean_Bus!K86+Accounting!K69+Finance!K67+Managemt!K75+Marketing!K67</f>
        <v>3</v>
      </c>
      <c r="L75" s="234">
        <f t="shared" si="17"/>
        <v>4.6875E-2</v>
      </c>
      <c r="M75" s="319">
        <f>Dean_Bus!M86+Accounting!M69+Finance!M67+Managemt!M75+Marketing!M67</f>
        <v>4</v>
      </c>
      <c r="N75" s="388">
        <f t="shared" si="18"/>
        <v>6.0606060606060608E-2</v>
      </c>
      <c r="O75" s="404">
        <f>Dean_Bus!O86+Accounting!O69+Finance!O67+Managemt!O75+Marketing!O67</f>
        <v>3</v>
      </c>
      <c r="P75" s="388">
        <f t="shared" si="18"/>
        <v>0.05</v>
      </c>
      <c r="Q75" s="404">
        <f>Dean_Bus!Q86+Accounting!Q69+Finance!Q67+Managemt!Q75+Marketing!Q67</f>
        <v>3</v>
      </c>
      <c r="R75" s="388">
        <f t="shared" si="19"/>
        <v>0.05</v>
      </c>
      <c r="S75" s="404">
        <f>Dean_Bus!S86+Accounting!S69+Finance!S67+Managemt!S75+Marketing!S67</f>
        <v>4</v>
      </c>
      <c r="T75" s="386">
        <f t="shared" si="20"/>
        <v>6.0606060606060608E-2</v>
      </c>
      <c r="U75" s="404">
        <f>Dean_Bus!U86+Accounting!U69+Finance!U67+Managemt!U75+Marketing!U67</f>
        <v>3</v>
      </c>
      <c r="V75" s="386">
        <f t="shared" si="21"/>
        <v>4.6153846153846156E-2</v>
      </c>
      <c r="W75" s="404">
        <f>Dean_Bus!W86+Accounting!W69+Finance!W67+Managemt!W75+Marketing!W67</f>
        <v>3</v>
      </c>
      <c r="X75" s="386">
        <f t="shared" si="22"/>
        <v>4.5454545454545456E-2</v>
      </c>
      <c r="Y75" s="404">
        <f>Dean_Bus!Y86+Accounting!Y69+Finance!Y67+Managemt!Y75+Marketing!Y67</f>
        <v>3</v>
      </c>
      <c r="Z75" s="386">
        <f t="shared" si="23"/>
        <v>4.5454545454545456E-2</v>
      </c>
      <c r="AA75" s="583"/>
      <c r="AB75" s="666">
        <f t="shared" si="24"/>
        <v>3.2</v>
      </c>
      <c r="AC75" s="692">
        <f t="shared" ref="AC75:AC81" si="26">AVERAGE(X75,V75,T75,R75,Z75)</f>
        <v>4.9533799533799536E-2</v>
      </c>
    </row>
    <row r="76" spans="2:29" ht="12" x14ac:dyDescent="0.2">
      <c r="B76" s="886" t="s">
        <v>75</v>
      </c>
      <c r="C76" s="242">
        <f>Dean_Bus!C87+Accounting!C70+Finance!C68+Managemt!C76+Marketing!C68</f>
        <v>1</v>
      </c>
      <c r="D76" s="239">
        <f t="shared" si="25"/>
        <v>1.7241379310344827E-2</v>
      </c>
      <c r="E76" s="137">
        <f>Dean_Bus!E87+Accounting!E70+Finance!E68+Managemt!E76+Marketing!E68</f>
        <v>1</v>
      </c>
      <c r="F76" s="294">
        <f t="shared" si="16"/>
        <v>1.6666666666666666E-2</v>
      </c>
      <c r="G76" s="319">
        <f>Dean_Bus!G87+Accounting!G70+Finance!G68+Managemt!G76+Marketing!G68</f>
        <v>1</v>
      </c>
      <c r="H76" s="388">
        <f t="shared" si="16"/>
        <v>1.6393442622950821E-2</v>
      </c>
      <c r="I76" s="404">
        <f>Dean_Bus!I87+Accounting!I70+Finance!I68+Managemt!I76+Marketing!I68</f>
        <v>0</v>
      </c>
      <c r="J76" s="234">
        <f t="shared" si="17"/>
        <v>0</v>
      </c>
      <c r="K76" s="319">
        <f>Dean_Bus!K87+Accounting!K70+Finance!K68+Managemt!K76+Marketing!K68</f>
        <v>0</v>
      </c>
      <c r="L76" s="234">
        <f t="shared" si="17"/>
        <v>0</v>
      </c>
      <c r="M76" s="319">
        <f>Dean_Bus!M87+Accounting!M70+Finance!M68+Managemt!M76+Marketing!M68</f>
        <v>0</v>
      </c>
      <c r="N76" s="388">
        <f t="shared" si="18"/>
        <v>0</v>
      </c>
      <c r="O76" s="404">
        <f>Dean_Bus!O87+Accounting!O70+Finance!O68+Managemt!O76+Marketing!O68</f>
        <v>0</v>
      </c>
      <c r="P76" s="388">
        <f t="shared" si="18"/>
        <v>0</v>
      </c>
      <c r="Q76" s="404">
        <f>Dean_Bus!Q87+Accounting!Q70+Finance!Q68+Managemt!Q76+Marketing!Q68</f>
        <v>0</v>
      </c>
      <c r="R76" s="388">
        <f t="shared" si="19"/>
        <v>0</v>
      </c>
      <c r="S76" s="404">
        <f>Dean_Bus!S87+Accounting!S70+Finance!S68+Managemt!S76+Marketing!S68</f>
        <v>0</v>
      </c>
      <c r="T76" s="386">
        <f t="shared" si="20"/>
        <v>0</v>
      </c>
      <c r="U76" s="404">
        <f>Dean_Bus!U87+Accounting!U70+Finance!U68+Managemt!U76+Marketing!U68</f>
        <v>0</v>
      </c>
      <c r="V76" s="386">
        <f t="shared" si="21"/>
        <v>0</v>
      </c>
      <c r="W76" s="404">
        <f>Dean_Bus!W87+Accounting!W70+Finance!W68+Managemt!W76+Marketing!W68</f>
        <v>0</v>
      </c>
      <c r="X76" s="386">
        <f t="shared" si="22"/>
        <v>0</v>
      </c>
      <c r="Y76" s="404">
        <f>Dean_Bus!Y87+Accounting!Y70+Finance!Y68+Managemt!Y76+Marketing!Y68</f>
        <v>0</v>
      </c>
      <c r="Z76" s="386">
        <f t="shared" si="23"/>
        <v>0</v>
      </c>
      <c r="AA76" s="583"/>
      <c r="AB76" s="666">
        <f t="shared" si="24"/>
        <v>0</v>
      </c>
      <c r="AC76" s="692">
        <f t="shared" si="26"/>
        <v>0</v>
      </c>
    </row>
    <row r="77" spans="2:29" ht="12" x14ac:dyDescent="0.2">
      <c r="B77" s="886" t="s">
        <v>76</v>
      </c>
      <c r="C77" s="242">
        <f>Dean_Bus!C88+Accounting!C71+Finance!C69+Managemt!C77+Marketing!C69</f>
        <v>0</v>
      </c>
      <c r="D77" s="239">
        <f t="shared" si="25"/>
        <v>0</v>
      </c>
      <c r="E77" s="137">
        <f>Dean_Bus!E88+Accounting!E71+Finance!E69+Managemt!E77+Marketing!E69</f>
        <v>0</v>
      </c>
      <c r="F77" s="294">
        <f t="shared" si="16"/>
        <v>0</v>
      </c>
      <c r="G77" s="319">
        <f>Dean_Bus!G88+Accounting!G71+Finance!G69+Managemt!G77+Marketing!G69</f>
        <v>0</v>
      </c>
      <c r="H77" s="388">
        <f t="shared" si="16"/>
        <v>0</v>
      </c>
      <c r="I77" s="404">
        <f>Dean_Bus!I88+Accounting!I71+Finance!I69+Managemt!I77+Marketing!I69</f>
        <v>0</v>
      </c>
      <c r="J77" s="234">
        <f t="shared" si="17"/>
        <v>0</v>
      </c>
      <c r="K77" s="319">
        <f>Dean_Bus!K88+Accounting!K71+Finance!K69+Managemt!K77+Marketing!K69</f>
        <v>0</v>
      </c>
      <c r="L77" s="234">
        <f t="shared" si="17"/>
        <v>0</v>
      </c>
      <c r="M77" s="319">
        <f>Dean_Bus!M88+Accounting!M71+Finance!M69+Managemt!M77+Marketing!M69</f>
        <v>0</v>
      </c>
      <c r="N77" s="388">
        <f t="shared" si="18"/>
        <v>0</v>
      </c>
      <c r="O77" s="404">
        <f>Dean_Bus!O88+Accounting!O71+Finance!O69+Managemt!O77+Marketing!O69</f>
        <v>0</v>
      </c>
      <c r="P77" s="388">
        <f t="shared" si="18"/>
        <v>0</v>
      </c>
      <c r="Q77" s="404">
        <f>Dean_Bus!Q88+Accounting!Q71+Finance!Q69+Managemt!Q77+Marketing!Q69</f>
        <v>0</v>
      </c>
      <c r="R77" s="388">
        <f t="shared" si="19"/>
        <v>0</v>
      </c>
      <c r="S77" s="404">
        <f>Dean_Bus!S88+Accounting!S71+Finance!S69+Managemt!S77+Marketing!S69</f>
        <v>0</v>
      </c>
      <c r="T77" s="386">
        <f t="shared" si="20"/>
        <v>0</v>
      </c>
      <c r="U77" s="404">
        <f>Dean_Bus!U88+Accounting!U71+Finance!U69+Managemt!U77+Marketing!U69</f>
        <v>0</v>
      </c>
      <c r="V77" s="386">
        <f t="shared" si="21"/>
        <v>0</v>
      </c>
      <c r="W77" s="404">
        <f>Dean_Bus!W88+Accounting!W71+Finance!W69+Managemt!W77+Marketing!W69</f>
        <v>0</v>
      </c>
      <c r="X77" s="386">
        <f t="shared" si="22"/>
        <v>0</v>
      </c>
      <c r="Y77" s="404">
        <f>Dean_Bus!Y88+Accounting!Y71+Finance!Y69+Managemt!Y77+Marketing!Y69</f>
        <v>0</v>
      </c>
      <c r="Z77" s="386">
        <f t="shared" si="23"/>
        <v>0</v>
      </c>
      <c r="AA77" s="583"/>
      <c r="AB77" s="666">
        <f t="shared" si="24"/>
        <v>0</v>
      </c>
      <c r="AC77" s="692">
        <f t="shared" si="26"/>
        <v>0</v>
      </c>
    </row>
    <row r="78" spans="2:29" ht="12" x14ac:dyDescent="0.2">
      <c r="B78" s="886" t="s">
        <v>77</v>
      </c>
      <c r="C78" s="242">
        <f>Dean_Bus!C89+Accounting!C72+Finance!C70+Managemt!C78+Marketing!C70</f>
        <v>4</v>
      </c>
      <c r="D78" s="239">
        <f t="shared" si="25"/>
        <v>6.8965517241379309E-2</v>
      </c>
      <c r="E78" s="137">
        <f>Dean_Bus!E89+Accounting!E72+Finance!E70+Managemt!E78+Marketing!E70</f>
        <v>3</v>
      </c>
      <c r="F78" s="294">
        <f t="shared" si="16"/>
        <v>0.05</v>
      </c>
      <c r="G78" s="319">
        <f>Dean_Bus!G89+Accounting!G72+Finance!G70+Managemt!G78+Marketing!G70</f>
        <v>3</v>
      </c>
      <c r="H78" s="388">
        <f t="shared" si="16"/>
        <v>4.9180327868852458E-2</v>
      </c>
      <c r="I78" s="404">
        <f>Dean_Bus!I89+Accounting!I72+Finance!I70+Managemt!I78+Marketing!I70</f>
        <v>3</v>
      </c>
      <c r="J78" s="234">
        <f t="shared" si="17"/>
        <v>5.0847457627118647E-2</v>
      </c>
      <c r="K78" s="319">
        <f>Dean_Bus!K89+Accounting!K72+Finance!K70+Managemt!K78+Marketing!K70</f>
        <v>5</v>
      </c>
      <c r="L78" s="234">
        <f t="shared" si="17"/>
        <v>7.8125E-2</v>
      </c>
      <c r="M78" s="319">
        <f>Dean_Bus!M89+Accounting!M72+Finance!M70+Managemt!M78+Marketing!M70</f>
        <v>8</v>
      </c>
      <c r="N78" s="388">
        <f t="shared" si="18"/>
        <v>0.12121212121212122</v>
      </c>
      <c r="O78" s="404">
        <f>Dean_Bus!O89+Accounting!O72+Finance!O70+Managemt!O78+Marketing!O70</f>
        <v>9</v>
      </c>
      <c r="P78" s="388">
        <f t="shared" si="18"/>
        <v>0.15</v>
      </c>
      <c r="Q78" s="404">
        <f>Dean_Bus!Q89+Accounting!Q72+Finance!Q70+Managemt!Q78+Marketing!Q70</f>
        <v>9</v>
      </c>
      <c r="R78" s="388">
        <f t="shared" si="19"/>
        <v>0.15</v>
      </c>
      <c r="S78" s="404">
        <f>Dean_Bus!S89+Accounting!S72+Finance!S70+Managemt!S78+Marketing!S70</f>
        <v>10</v>
      </c>
      <c r="T78" s="386">
        <f t="shared" si="20"/>
        <v>0.15151515151515152</v>
      </c>
      <c r="U78" s="404">
        <f>Dean_Bus!U89+Accounting!U72+Finance!U70+Managemt!U78+Marketing!U70</f>
        <v>10</v>
      </c>
      <c r="V78" s="386">
        <f t="shared" si="21"/>
        <v>0.15384615384615385</v>
      </c>
      <c r="W78" s="404">
        <f>Dean_Bus!W89+Accounting!W72+Finance!W70+Managemt!W78+Marketing!W70</f>
        <v>9</v>
      </c>
      <c r="X78" s="386">
        <f t="shared" si="22"/>
        <v>0.13636363636363635</v>
      </c>
      <c r="Y78" s="404">
        <f>Dean_Bus!Y89+Accounting!Y72+Finance!Y70+Managemt!Y78+Marketing!Y70</f>
        <v>9</v>
      </c>
      <c r="Z78" s="386">
        <f t="shared" si="23"/>
        <v>0.13636363636363635</v>
      </c>
      <c r="AA78" s="583"/>
      <c r="AB78" s="666">
        <f t="shared" si="24"/>
        <v>9.4</v>
      </c>
      <c r="AC78" s="692">
        <f t="shared" si="26"/>
        <v>0.14561771561771561</v>
      </c>
    </row>
    <row r="79" spans="2:29" ht="12" x14ac:dyDescent="0.2">
      <c r="B79" s="886" t="s">
        <v>78</v>
      </c>
      <c r="C79" s="242">
        <f>Dean_Bus!C90+Accounting!C73+Finance!C71+Managemt!C79+Marketing!C71</f>
        <v>4</v>
      </c>
      <c r="D79" s="239">
        <f t="shared" si="25"/>
        <v>6.8965517241379309E-2</v>
      </c>
      <c r="E79" s="137">
        <f>Dean_Bus!E90+Accounting!E73+Finance!E71+Managemt!E79+Marketing!E71</f>
        <v>5</v>
      </c>
      <c r="F79" s="294">
        <f t="shared" si="16"/>
        <v>8.3333333333333329E-2</v>
      </c>
      <c r="G79" s="319">
        <f>Dean_Bus!G90+Accounting!G73+Finance!G71+Managemt!G79+Marketing!G71</f>
        <v>8</v>
      </c>
      <c r="H79" s="388">
        <f t="shared" si="16"/>
        <v>0.13114754098360656</v>
      </c>
      <c r="I79" s="404">
        <f>Dean_Bus!I90+Accounting!I73+Finance!I71+Managemt!I79+Marketing!I71</f>
        <v>5</v>
      </c>
      <c r="J79" s="234">
        <f t="shared" si="17"/>
        <v>8.4745762711864403E-2</v>
      </c>
      <c r="K79" s="319">
        <f>Dean_Bus!K90+Accounting!K73+Finance!K71+Managemt!K79+Marketing!K71</f>
        <v>7</v>
      </c>
      <c r="L79" s="234">
        <f t="shared" si="17"/>
        <v>0.109375</v>
      </c>
      <c r="M79" s="319">
        <f>Dean_Bus!M90+Accounting!M73+Finance!M71+Managemt!M79+Marketing!M71</f>
        <v>3</v>
      </c>
      <c r="N79" s="388">
        <f t="shared" si="18"/>
        <v>4.5454545454545456E-2</v>
      </c>
      <c r="O79" s="404">
        <f>Dean_Bus!O90+Accounting!O73+Finance!O71+Managemt!O79+Marketing!O71</f>
        <v>2</v>
      </c>
      <c r="P79" s="388">
        <f t="shared" si="18"/>
        <v>3.3333333333333333E-2</v>
      </c>
      <c r="Q79" s="404">
        <f>Dean_Bus!Q90+Accounting!Q73+Finance!Q71+Managemt!Q79+Marketing!Q71</f>
        <v>1</v>
      </c>
      <c r="R79" s="388">
        <f t="shared" si="19"/>
        <v>1.6666666666666666E-2</v>
      </c>
      <c r="S79" s="404">
        <f>Dean_Bus!S90+Accounting!S73+Finance!S71+Managemt!S79+Marketing!S71</f>
        <v>1</v>
      </c>
      <c r="T79" s="386">
        <f t="shared" si="20"/>
        <v>1.5151515151515152E-2</v>
      </c>
      <c r="U79" s="404">
        <f>Dean_Bus!U90+Accounting!U73+Finance!U71+Managemt!U79+Marketing!U71</f>
        <v>3</v>
      </c>
      <c r="V79" s="386">
        <f t="shared" si="21"/>
        <v>4.6153846153846156E-2</v>
      </c>
      <c r="W79" s="404">
        <f>Dean_Bus!W90+Accounting!W73+Finance!W71+Managemt!W79+Marketing!W71</f>
        <v>4</v>
      </c>
      <c r="X79" s="386">
        <f t="shared" si="22"/>
        <v>6.0606060606060608E-2</v>
      </c>
      <c r="Y79" s="404">
        <f>Dean_Bus!Y90+Accounting!Y73+Finance!Y71+Managemt!Y79+Marketing!Y71</f>
        <v>6</v>
      </c>
      <c r="Z79" s="386">
        <f t="shared" si="23"/>
        <v>9.0909090909090912E-2</v>
      </c>
      <c r="AA79" s="583"/>
      <c r="AB79" s="666">
        <f t="shared" si="24"/>
        <v>3</v>
      </c>
      <c r="AC79" s="692">
        <f t="shared" si="26"/>
        <v>4.5897435897435904E-2</v>
      </c>
    </row>
    <row r="80" spans="2:29" ht="12" x14ac:dyDescent="0.2">
      <c r="B80" s="886" t="s">
        <v>172</v>
      </c>
      <c r="C80" s="242"/>
      <c r="D80" s="239"/>
      <c r="E80" s="137"/>
      <c r="F80" s="294"/>
      <c r="G80" s="984"/>
      <c r="H80" s="975"/>
      <c r="I80" s="985"/>
      <c r="J80" s="977"/>
      <c r="K80" s="984"/>
      <c r="L80" s="977"/>
      <c r="M80" s="984"/>
      <c r="N80" s="975"/>
      <c r="O80" s="985"/>
      <c r="P80" s="975"/>
      <c r="Q80" s="404">
        <f>Dean_Bus!Q91+Accounting!Q74+Finance!Q72+Managemt!Q80+Marketing!Q72</f>
        <v>1</v>
      </c>
      <c r="R80" s="388">
        <f>Q80/R$72</f>
        <v>1.6666666666666666E-2</v>
      </c>
      <c r="S80" s="404">
        <f>Dean_Bus!S91+Accounting!S74+Finance!S72+Managemt!S80+Marketing!S72</f>
        <v>2</v>
      </c>
      <c r="T80" s="386">
        <f>S80/T$72</f>
        <v>3.0303030303030304E-2</v>
      </c>
      <c r="U80" s="404">
        <f>Dean_Bus!U91+Accounting!U74+Finance!U72+Managemt!U80+Marketing!U72</f>
        <v>2</v>
      </c>
      <c r="V80" s="386">
        <f>U80/V$72</f>
        <v>3.0769230769230771E-2</v>
      </c>
      <c r="W80" s="404">
        <f>Dean_Bus!W91+Accounting!W74+Finance!W72+Managemt!W80+Marketing!W72</f>
        <v>2</v>
      </c>
      <c r="X80" s="386">
        <f>W80/X$72</f>
        <v>3.0303030303030304E-2</v>
      </c>
      <c r="Y80" s="404">
        <f>Dean_Bus!Y91+Accounting!Y74+Finance!Y72+Managemt!Y80+Marketing!Y72</f>
        <v>1</v>
      </c>
      <c r="Z80" s="386">
        <f>Y80/Z$72</f>
        <v>1.5151515151515152E-2</v>
      </c>
      <c r="AA80" s="583"/>
      <c r="AB80" s="666">
        <f t="shared" si="24"/>
        <v>1.6</v>
      </c>
      <c r="AC80" s="692">
        <f t="shared" si="26"/>
        <v>2.4638694638694638E-2</v>
      </c>
    </row>
    <row r="81" spans="1:29" ht="12" x14ac:dyDescent="0.2">
      <c r="B81" s="886" t="s">
        <v>79</v>
      </c>
      <c r="C81" s="242">
        <f>Dean_Bus!C92+Accounting!C75+Finance!C73+Managemt!C81+Marketing!C73</f>
        <v>0</v>
      </c>
      <c r="D81" s="239">
        <f t="shared" si="25"/>
        <v>0</v>
      </c>
      <c r="E81" s="137">
        <f>Dean_Bus!E92+Accounting!E75+Finance!E73+Managemt!E81+Marketing!E73</f>
        <v>0</v>
      </c>
      <c r="F81" s="234">
        <f t="shared" si="16"/>
        <v>0</v>
      </c>
      <c r="G81" s="319">
        <f>Dean_Bus!G92+Accounting!G75+Finance!G73+Managemt!G81+Marketing!G73</f>
        <v>0</v>
      </c>
      <c r="H81" s="388">
        <f t="shared" si="16"/>
        <v>0</v>
      </c>
      <c r="I81" s="404">
        <f>Dean_Bus!I92+Accounting!I75+Finance!I73+Managemt!I81+Marketing!I73</f>
        <v>0</v>
      </c>
      <c r="J81" s="234">
        <f t="shared" si="17"/>
        <v>0</v>
      </c>
      <c r="K81" s="319">
        <f>Dean_Bus!K92+Accounting!K75+Finance!K73+Managemt!K81+Marketing!K73</f>
        <v>0</v>
      </c>
      <c r="L81" s="234">
        <f t="shared" si="17"/>
        <v>0</v>
      </c>
      <c r="M81" s="319">
        <f>Dean_Bus!M92+Accounting!M75+Finance!M73+Managemt!M81+Marketing!M73</f>
        <v>0</v>
      </c>
      <c r="N81" s="388">
        <f t="shared" si="18"/>
        <v>0</v>
      </c>
      <c r="O81" s="404">
        <f>Dean_Bus!O92+Accounting!O75+Finance!O73+Managemt!O81+Marketing!O73</f>
        <v>1</v>
      </c>
      <c r="P81" s="388">
        <f t="shared" si="18"/>
        <v>1.6666666666666666E-2</v>
      </c>
      <c r="Q81" s="404">
        <f>Dean_Bus!Q92+Accounting!Q75+Finance!Q73+Managemt!Q81+Marketing!Q73</f>
        <v>1</v>
      </c>
      <c r="R81" s="388">
        <f>Q81/R$72</f>
        <v>1.6666666666666666E-2</v>
      </c>
      <c r="S81" s="404">
        <f>Dean_Bus!S92+Accounting!S75+Finance!S73+Managemt!S81+Marketing!S73</f>
        <v>1</v>
      </c>
      <c r="T81" s="386">
        <f>S81/T$72</f>
        <v>1.5151515151515152E-2</v>
      </c>
      <c r="U81" s="404">
        <f>Dean_Bus!U92+Accounting!U75+Finance!U73+Managemt!U81+Marketing!U73</f>
        <v>1</v>
      </c>
      <c r="V81" s="386">
        <f>U81/V$72</f>
        <v>1.5384615384615385E-2</v>
      </c>
      <c r="W81" s="404">
        <f>Dean_Bus!W92+Accounting!W75+Finance!W73+Managemt!W81+Marketing!W73</f>
        <v>1</v>
      </c>
      <c r="X81" s="386">
        <f>W81/X$72</f>
        <v>1.5151515151515152E-2</v>
      </c>
      <c r="Y81" s="404">
        <f>Dean_Bus!Y92+Accounting!Y75+Finance!Y73+Managemt!Y81+Marketing!Y73</f>
        <v>1</v>
      </c>
      <c r="Z81" s="386">
        <f>Y81/Z$72</f>
        <v>1.5151515151515152E-2</v>
      </c>
      <c r="AA81" s="583"/>
      <c r="AB81" s="666">
        <f t="shared" si="24"/>
        <v>1</v>
      </c>
      <c r="AC81" s="692">
        <f t="shared" si="26"/>
        <v>1.5501165501165501E-2</v>
      </c>
    </row>
    <row r="82" spans="1:29" ht="12" x14ac:dyDescent="0.2">
      <c r="B82" s="887" t="s">
        <v>93</v>
      </c>
      <c r="C82" s="242"/>
      <c r="D82" s="239"/>
      <c r="E82" s="207"/>
      <c r="F82" s="234"/>
      <c r="G82" s="298"/>
      <c r="H82" s="388"/>
      <c r="I82" s="381"/>
      <c r="J82" s="234"/>
      <c r="K82" s="298"/>
      <c r="L82" s="234"/>
      <c r="M82" s="298"/>
      <c r="N82" s="388"/>
      <c r="O82" s="381"/>
      <c r="P82" s="388"/>
      <c r="Q82" s="381"/>
      <c r="R82" s="388"/>
      <c r="S82" s="381"/>
      <c r="T82" s="386"/>
      <c r="U82" s="381"/>
      <c r="V82" s="386"/>
      <c r="W82" s="381"/>
      <c r="X82" s="386"/>
      <c r="Y82" s="381"/>
      <c r="Z82" s="386"/>
      <c r="AA82" s="583"/>
      <c r="AB82" s="666"/>
      <c r="AC82" s="692"/>
    </row>
    <row r="83" spans="1:29" ht="12" x14ac:dyDescent="0.2">
      <c r="B83" s="47" t="s">
        <v>80</v>
      </c>
      <c r="C83" s="242">
        <f>Dean_Bus!C94+Accounting!C77+Finance!C75+Managemt!C83+Marketing!C75</f>
        <v>44</v>
      </c>
      <c r="D83" s="239">
        <f t="shared" si="25"/>
        <v>0.75862068965517238</v>
      </c>
      <c r="E83" s="101">
        <f>Dean_Bus!E94+Accounting!E77+Finance!E75+Managemt!E83+Marketing!E75</f>
        <v>46</v>
      </c>
      <c r="F83" s="234">
        <f>E83/F$72</f>
        <v>0.76666666666666672</v>
      </c>
      <c r="G83" s="299">
        <f>Dean_Bus!G94+Accounting!G77+Finance!G75+Managemt!G83+Marketing!G75</f>
        <v>45</v>
      </c>
      <c r="H83" s="388">
        <f>G83/H$72</f>
        <v>0.73770491803278693</v>
      </c>
      <c r="I83" s="415">
        <f>Dean_Bus!I94+Accounting!I77+Finance!I75+Managemt!I83+Marketing!I75</f>
        <v>44</v>
      </c>
      <c r="J83" s="234">
        <f>I83/J$72</f>
        <v>0.74576271186440679</v>
      </c>
      <c r="K83" s="299">
        <f>Dean_Bus!K94+Accounting!K77+Finance!K75+Managemt!K83+Marketing!K75</f>
        <v>47</v>
      </c>
      <c r="L83" s="234">
        <f>K83/L$72</f>
        <v>0.734375</v>
      </c>
      <c r="M83" s="299">
        <f>Dean_Bus!M94+Accounting!M77+Finance!M75+Managemt!M83+Marketing!M75</f>
        <v>47</v>
      </c>
      <c r="N83" s="388">
        <f>M83/N$72</f>
        <v>0.71212121212121215</v>
      </c>
      <c r="O83" s="415">
        <f>Dean_Bus!O94+Accounting!O77+Finance!O75+Managemt!O83+Marketing!O75</f>
        <v>45</v>
      </c>
      <c r="P83" s="388">
        <f>O83/P$72</f>
        <v>0.75</v>
      </c>
      <c r="Q83" s="415">
        <f>Dean_Bus!Q94+Accounting!Q77+Finance!Q75+Managemt!Q83+Marketing!Q75</f>
        <v>44</v>
      </c>
      <c r="R83" s="388">
        <f>Q83/R$72</f>
        <v>0.73333333333333328</v>
      </c>
      <c r="S83" s="415">
        <f>Dean_Bus!S94+Accounting!S77+Finance!S75+Managemt!S83+Marketing!S75</f>
        <v>44</v>
      </c>
      <c r="T83" s="386">
        <f>S83/T$72</f>
        <v>0.66666666666666663</v>
      </c>
      <c r="U83" s="415">
        <f>Dean_Bus!U94+Accounting!U77+Finance!U75+Managemt!U83+Marketing!U75</f>
        <v>43</v>
      </c>
      <c r="V83" s="386">
        <f>U83/V$72</f>
        <v>0.66153846153846152</v>
      </c>
      <c r="W83" s="415">
        <f>Dean_Bus!W94+Accounting!W77+Finance!W75+Managemt!W83+Marketing!W75</f>
        <v>46</v>
      </c>
      <c r="X83" s="386">
        <f>W83/X$72</f>
        <v>0.69696969696969702</v>
      </c>
      <c r="Y83" s="415">
        <f>Dean_Bus!Y94+Accounting!Y77+Finance!Y75+Managemt!Y83+Marketing!Y75</f>
        <v>45</v>
      </c>
      <c r="Z83" s="386">
        <f>Y83/Z$72</f>
        <v>0.68181818181818177</v>
      </c>
      <c r="AA83" s="583"/>
      <c r="AB83" s="666">
        <f t="shared" ref="AB83:AB84" si="27">AVERAGE(W83,U83,S83,Q83,Y83)</f>
        <v>44.4</v>
      </c>
      <c r="AC83" s="692">
        <f t="shared" ref="AC83:AC84" si="28">AVERAGE(X83,V83,T83,R83,Z83)</f>
        <v>0.68806526806526802</v>
      </c>
    </row>
    <row r="84" spans="1:29" ht="12" x14ac:dyDescent="0.2">
      <c r="B84" s="47" t="s">
        <v>81</v>
      </c>
      <c r="C84" s="242">
        <f>Dean_Bus!C95+Accounting!C78+Finance!C76+Managemt!C84+Marketing!C76</f>
        <v>14</v>
      </c>
      <c r="D84" s="239">
        <f t="shared" si="25"/>
        <v>0.2413793103448276</v>
      </c>
      <c r="E84" s="101">
        <f>Dean_Bus!E95+Accounting!E78+Finance!E76+Managemt!E84+Marketing!E76</f>
        <v>14</v>
      </c>
      <c r="F84" s="234">
        <f>E84/F$72</f>
        <v>0.23333333333333334</v>
      </c>
      <c r="G84" s="299">
        <f>Dean_Bus!G95+Accounting!G78+Finance!G76+Managemt!G84+Marketing!G76</f>
        <v>16</v>
      </c>
      <c r="H84" s="388">
        <f>G84/H$72</f>
        <v>0.26229508196721313</v>
      </c>
      <c r="I84" s="415">
        <f>Dean_Bus!I95+Accounting!I78+Finance!I76+Managemt!I84+Marketing!I76</f>
        <v>15</v>
      </c>
      <c r="J84" s="234">
        <f>I84/J$72</f>
        <v>0.25423728813559321</v>
      </c>
      <c r="K84" s="299">
        <f>Dean_Bus!K95+Accounting!K78+Finance!K76+Managemt!K84+Marketing!K76</f>
        <v>17</v>
      </c>
      <c r="L84" s="234">
        <f>K84/L$72</f>
        <v>0.265625</v>
      </c>
      <c r="M84" s="299">
        <f>Dean_Bus!M95+Accounting!M78+Finance!M76+Managemt!M84+Marketing!M76</f>
        <v>19</v>
      </c>
      <c r="N84" s="388">
        <f>M84/N$72</f>
        <v>0.2878787878787879</v>
      </c>
      <c r="O84" s="415">
        <f>Dean_Bus!O95+Accounting!O78+Finance!O76+Managemt!O84+Marketing!O76</f>
        <v>18</v>
      </c>
      <c r="P84" s="388">
        <f>O84/P$72</f>
        <v>0.3</v>
      </c>
      <c r="Q84" s="415">
        <f>Dean_Bus!Q95+Accounting!Q78+Finance!Q76+Managemt!Q84+Marketing!Q76</f>
        <v>16</v>
      </c>
      <c r="R84" s="388">
        <f>Q84/R$72</f>
        <v>0.26666666666666666</v>
      </c>
      <c r="S84" s="415">
        <f>Dean_Bus!S95+Accounting!S78+Finance!S76+Managemt!S84+Marketing!S76</f>
        <v>22</v>
      </c>
      <c r="T84" s="386">
        <f>S84/T$72</f>
        <v>0.33333333333333331</v>
      </c>
      <c r="U84" s="415">
        <f>Dean_Bus!U95+Accounting!U78+Finance!U76+Managemt!U84+Marketing!U76</f>
        <v>22</v>
      </c>
      <c r="V84" s="386">
        <f>U84/V$72</f>
        <v>0.33846153846153848</v>
      </c>
      <c r="W84" s="415">
        <f>Dean_Bus!W95+Accounting!W78+Finance!W76+Managemt!W84+Marketing!W76</f>
        <v>20</v>
      </c>
      <c r="X84" s="386">
        <f>W84/X$72</f>
        <v>0.30303030303030304</v>
      </c>
      <c r="Y84" s="415">
        <f>Dean_Bus!Y95+Accounting!Y78+Finance!Y76+Managemt!Y84+Marketing!Y76</f>
        <v>21</v>
      </c>
      <c r="Z84" s="386">
        <f>Y84/Z$72</f>
        <v>0.31818181818181818</v>
      </c>
      <c r="AA84" s="583"/>
      <c r="AB84" s="666">
        <f t="shared" si="27"/>
        <v>20.2</v>
      </c>
      <c r="AC84" s="692">
        <f t="shared" si="28"/>
        <v>0.31193473193473192</v>
      </c>
    </row>
    <row r="85" spans="1:29" ht="12" x14ac:dyDescent="0.2">
      <c r="B85" s="887" t="s">
        <v>94</v>
      </c>
      <c r="C85" s="242"/>
      <c r="D85" s="239"/>
      <c r="E85" s="101"/>
      <c r="F85" s="234"/>
      <c r="G85" s="299"/>
      <c r="H85" s="388"/>
      <c r="I85" s="415"/>
      <c r="J85" s="234"/>
      <c r="K85" s="299"/>
      <c r="L85" s="234"/>
      <c r="M85" s="299"/>
      <c r="N85" s="388"/>
      <c r="O85" s="415"/>
      <c r="P85" s="388"/>
      <c r="Q85" s="415"/>
      <c r="R85" s="388"/>
      <c r="S85" s="415"/>
      <c r="T85" s="386"/>
      <c r="U85" s="415"/>
      <c r="V85" s="386"/>
      <c r="W85" s="415"/>
      <c r="X85" s="386"/>
      <c r="Y85" s="415"/>
      <c r="Z85" s="386"/>
      <c r="AA85" s="583"/>
      <c r="AB85" s="666"/>
      <c r="AC85" s="692"/>
    </row>
    <row r="86" spans="1:29" ht="12" x14ac:dyDescent="0.2">
      <c r="B86" s="47" t="s">
        <v>82</v>
      </c>
      <c r="C86" s="242">
        <f>Dean_Bus!C97+Accounting!C80+Finance!C78+Managemt!C86+Marketing!C78</f>
        <v>20</v>
      </c>
      <c r="D86" s="239">
        <f t="shared" si="25"/>
        <v>0.34482758620689657</v>
      </c>
      <c r="E86" s="101">
        <f>Dean_Bus!E97+Accounting!E80+Finance!E78+Managemt!E86+Marketing!E78</f>
        <v>21</v>
      </c>
      <c r="F86" s="234">
        <f>E86/F$72</f>
        <v>0.35</v>
      </c>
      <c r="G86" s="299">
        <f>Dean_Bus!G97+Accounting!G80+Finance!G78+Managemt!G86+Marketing!G78</f>
        <v>26</v>
      </c>
      <c r="H86" s="388">
        <f>G86/H$72</f>
        <v>0.42622950819672129</v>
      </c>
      <c r="I86" s="415">
        <f>Dean_Bus!I97+Accounting!I80+Finance!I78+Managemt!I86+Marketing!I78</f>
        <v>22</v>
      </c>
      <c r="J86" s="234">
        <f>I86/J$72</f>
        <v>0.3728813559322034</v>
      </c>
      <c r="K86" s="299">
        <f>Dean_Bus!K97+Accounting!K80+Finance!K78+Managemt!K86+Marketing!K78</f>
        <v>23</v>
      </c>
      <c r="L86" s="234">
        <f>K86/L$72</f>
        <v>0.359375</v>
      </c>
      <c r="M86" s="299">
        <f>Dean_Bus!M97+Accounting!M80+Finance!M78+Managemt!M86+Marketing!M78</f>
        <v>26</v>
      </c>
      <c r="N86" s="388">
        <f>M86/N$72</f>
        <v>0.39393939393939392</v>
      </c>
      <c r="O86" s="415">
        <f>Dean_Bus!O97+Accounting!O80+Finance!O78+Managemt!O86+Marketing!O78</f>
        <v>26</v>
      </c>
      <c r="P86" s="388">
        <f>O86/P$72</f>
        <v>0.43333333333333335</v>
      </c>
      <c r="Q86" s="415">
        <f>Dean_Bus!Q97+Accounting!Q80+Finance!Q78+Managemt!Q86+Marketing!Q78</f>
        <v>26</v>
      </c>
      <c r="R86" s="388">
        <f>Q86/R$72</f>
        <v>0.43333333333333335</v>
      </c>
      <c r="S86" s="415">
        <f>Dean_Bus!S97+Accounting!S80+Finance!S78+Managemt!S86+Marketing!S78</f>
        <v>26</v>
      </c>
      <c r="T86" s="386">
        <f>S86/T$72</f>
        <v>0.39393939393939392</v>
      </c>
      <c r="U86" s="415">
        <f>Dean_Bus!U97+Accounting!U80+Finance!U78+Managemt!U86+Marketing!U78</f>
        <v>26</v>
      </c>
      <c r="V86" s="386">
        <f>U86/V$72</f>
        <v>0.4</v>
      </c>
      <c r="W86" s="415">
        <f>Dean_Bus!W97+Accounting!W80+Finance!W78+Managemt!W86+Marketing!W78</f>
        <v>28</v>
      </c>
      <c r="X86" s="386">
        <f>W86/X$72</f>
        <v>0.42424242424242425</v>
      </c>
      <c r="Y86" s="415">
        <f>Dean_Bus!Y97+Accounting!Y80+Finance!Y78+Managemt!Y86+Marketing!Y78</f>
        <v>27</v>
      </c>
      <c r="Z86" s="386">
        <f>Y86/Z$72</f>
        <v>0.40909090909090912</v>
      </c>
      <c r="AA86" s="583"/>
      <c r="AB86" s="666">
        <f t="shared" ref="AB86:AB88" si="29">AVERAGE(W86,U86,S86,Q86,Y86)</f>
        <v>26.6</v>
      </c>
      <c r="AC86" s="692">
        <f t="shared" ref="AC86:AC88" si="30">AVERAGE(X86,V86,T86,R86,Z86)</f>
        <v>0.41212121212121211</v>
      </c>
    </row>
    <row r="87" spans="1:29" ht="12" x14ac:dyDescent="0.2">
      <c r="B87" s="47" t="s">
        <v>83</v>
      </c>
      <c r="C87" s="242">
        <f>Dean_Bus!C98+Accounting!C81+Finance!C79+Managemt!C87+Marketing!C79</f>
        <v>13</v>
      </c>
      <c r="D87" s="239">
        <f t="shared" si="25"/>
        <v>0.22413793103448276</v>
      </c>
      <c r="E87" s="101">
        <f>Dean_Bus!E98+Accounting!E81+Finance!E79+Managemt!E87+Marketing!E79</f>
        <v>15</v>
      </c>
      <c r="F87" s="234">
        <f>E87/F$72</f>
        <v>0.25</v>
      </c>
      <c r="G87" s="299">
        <f>Dean_Bus!G98+Accounting!G81+Finance!G79+Managemt!G87+Marketing!G79</f>
        <v>16</v>
      </c>
      <c r="H87" s="388">
        <f>G87/H$72</f>
        <v>0.26229508196721313</v>
      </c>
      <c r="I87" s="415">
        <f>Dean_Bus!I98+Accounting!I81+Finance!I79+Managemt!I87+Marketing!I79</f>
        <v>10</v>
      </c>
      <c r="J87" s="234">
        <f>I87/J$72</f>
        <v>0.16949152542372881</v>
      </c>
      <c r="K87" s="299">
        <f>Dean_Bus!K98+Accounting!K81+Finance!K79+Managemt!K87+Marketing!K79</f>
        <v>14</v>
      </c>
      <c r="L87" s="234">
        <f>K87/L$72</f>
        <v>0.21875</v>
      </c>
      <c r="M87" s="299">
        <f>Dean_Bus!M98+Accounting!M81+Finance!M79+Managemt!M87+Marketing!M79</f>
        <v>12</v>
      </c>
      <c r="N87" s="388">
        <f>M87/N$72</f>
        <v>0.18181818181818182</v>
      </c>
      <c r="O87" s="415">
        <f>Dean_Bus!O98+Accounting!O81+Finance!O79+Managemt!O87+Marketing!O79</f>
        <v>11</v>
      </c>
      <c r="P87" s="388">
        <f>O87/P$72</f>
        <v>0.18333333333333332</v>
      </c>
      <c r="Q87" s="415">
        <f>Dean_Bus!Q98+Accounting!Q81+Finance!Q79+Managemt!Q87+Marketing!Q79</f>
        <v>10</v>
      </c>
      <c r="R87" s="388">
        <f>Q87/R$72</f>
        <v>0.16666666666666666</v>
      </c>
      <c r="S87" s="415">
        <f>Dean_Bus!S98+Accounting!S81+Finance!S79+Managemt!S87+Marketing!S79</f>
        <v>12</v>
      </c>
      <c r="T87" s="386">
        <f>S87/T$72</f>
        <v>0.18181818181818182</v>
      </c>
      <c r="U87" s="415">
        <f>Dean_Bus!U98+Accounting!U81+Finance!U79+Managemt!U87+Marketing!U79</f>
        <v>10</v>
      </c>
      <c r="V87" s="386">
        <f>U87/V$72</f>
        <v>0.15384615384615385</v>
      </c>
      <c r="W87" s="415">
        <f>Dean_Bus!W98+Accounting!W81+Finance!W79+Managemt!W87+Marketing!W79</f>
        <v>10</v>
      </c>
      <c r="X87" s="386">
        <f>W87/X$72</f>
        <v>0.15151515151515152</v>
      </c>
      <c r="Y87" s="415">
        <f>Dean_Bus!Y98+Accounting!Y81+Finance!Y79+Managemt!Y87+Marketing!Y79</f>
        <v>10</v>
      </c>
      <c r="Z87" s="386">
        <f>Y87/Z$72</f>
        <v>0.15151515151515152</v>
      </c>
      <c r="AA87" s="583"/>
      <c r="AB87" s="666">
        <f t="shared" si="29"/>
        <v>10.4</v>
      </c>
      <c r="AC87" s="692">
        <f t="shared" si="30"/>
        <v>0.16107226107226108</v>
      </c>
    </row>
    <row r="88" spans="1:29" ht="12" x14ac:dyDescent="0.2">
      <c r="B88" s="47" t="s">
        <v>84</v>
      </c>
      <c r="C88" s="242">
        <f>Dean_Bus!C99+Accounting!C82+Finance!C80+Managemt!C88+Marketing!C80</f>
        <v>25</v>
      </c>
      <c r="D88" s="239">
        <f t="shared" si="25"/>
        <v>0.43103448275862066</v>
      </c>
      <c r="E88" s="101">
        <f>Dean_Bus!E99+Accounting!E82+Finance!E80+Managemt!E88+Marketing!E80</f>
        <v>24</v>
      </c>
      <c r="F88" s="234">
        <f>E88/F$72</f>
        <v>0.4</v>
      </c>
      <c r="G88" s="299">
        <f>Dean_Bus!G99+Accounting!G82+Finance!G80+Managemt!G88+Marketing!G80</f>
        <v>19</v>
      </c>
      <c r="H88" s="388">
        <f>G88/H$72</f>
        <v>0.31147540983606559</v>
      </c>
      <c r="I88" s="415">
        <f>Dean_Bus!I99+Accounting!I82+Finance!I80+Managemt!I88+Marketing!I80</f>
        <v>27</v>
      </c>
      <c r="J88" s="234">
        <f>I88/J$72</f>
        <v>0.4576271186440678</v>
      </c>
      <c r="K88" s="299">
        <f>Dean_Bus!K99+Accounting!K82+Finance!K80+Managemt!K88+Marketing!K80</f>
        <v>27</v>
      </c>
      <c r="L88" s="234">
        <f>K88/L$72</f>
        <v>0.421875</v>
      </c>
      <c r="M88" s="299">
        <f>Dean_Bus!M99+Accounting!M82+Finance!M80+Managemt!M88+Marketing!M80</f>
        <v>28</v>
      </c>
      <c r="N88" s="388">
        <f>M88/N$72</f>
        <v>0.42424242424242425</v>
      </c>
      <c r="O88" s="415">
        <f>Dean_Bus!O99+Accounting!O82+Finance!O80+Managemt!O88+Marketing!O80</f>
        <v>26</v>
      </c>
      <c r="P88" s="388">
        <f>O88/P$72</f>
        <v>0.43333333333333335</v>
      </c>
      <c r="Q88" s="415">
        <f>Dean_Bus!Q99+Accounting!Q82+Finance!Q80+Managemt!Q88+Marketing!Q80</f>
        <v>23</v>
      </c>
      <c r="R88" s="388">
        <f>Q88/R$72</f>
        <v>0.38333333333333336</v>
      </c>
      <c r="S88" s="415">
        <f>Dean_Bus!S99+Accounting!S82+Finance!S80+Managemt!S88+Marketing!S80</f>
        <v>28</v>
      </c>
      <c r="T88" s="386">
        <f>S88/T$72</f>
        <v>0.42424242424242425</v>
      </c>
      <c r="U88" s="415">
        <f>Dean_Bus!U99+Accounting!U82+Finance!U80+Managemt!U88+Marketing!U80</f>
        <v>29</v>
      </c>
      <c r="V88" s="386">
        <f>U88/V$72</f>
        <v>0.44615384615384618</v>
      </c>
      <c r="W88" s="415">
        <f>Dean_Bus!W99+Accounting!W82+Finance!W80+Managemt!W88+Marketing!W80</f>
        <v>28</v>
      </c>
      <c r="X88" s="386">
        <f>W88/X$72</f>
        <v>0.42424242424242425</v>
      </c>
      <c r="Y88" s="415">
        <f>Dean_Bus!Y99+Accounting!Y82+Finance!Y80+Managemt!Y88+Marketing!Y80</f>
        <v>29</v>
      </c>
      <c r="Z88" s="386">
        <f>Y88/Z$72</f>
        <v>0.43939393939393939</v>
      </c>
      <c r="AA88" s="583"/>
      <c r="AB88" s="666">
        <f t="shared" si="29"/>
        <v>27.4</v>
      </c>
      <c r="AC88" s="692">
        <f t="shared" si="30"/>
        <v>0.42347319347319345</v>
      </c>
    </row>
    <row r="89" spans="1:29" ht="12" x14ac:dyDescent="0.2">
      <c r="B89" s="887" t="s">
        <v>95</v>
      </c>
      <c r="C89" s="242"/>
      <c r="D89" s="239"/>
      <c r="E89" s="101"/>
      <c r="F89" s="234"/>
      <c r="G89" s="299"/>
      <c r="H89" s="388"/>
      <c r="I89" s="415"/>
      <c r="J89" s="234"/>
      <c r="K89" s="299"/>
      <c r="L89" s="234"/>
      <c r="M89" s="299"/>
      <c r="N89" s="388"/>
      <c r="O89" s="415"/>
      <c r="P89" s="388"/>
      <c r="Q89" s="415"/>
      <c r="R89" s="388"/>
      <c r="S89" s="415"/>
      <c r="T89" s="386"/>
      <c r="U89" s="415"/>
      <c r="V89" s="386"/>
      <c r="W89" s="415"/>
      <c r="X89" s="386"/>
      <c r="Y89" s="415"/>
      <c r="Z89" s="386"/>
      <c r="AA89" s="583"/>
      <c r="AB89" s="666"/>
      <c r="AC89" s="692"/>
    </row>
    <row r="90" spans="1:29" ht="12" x14ac:dyDescent="0.2">
      <c r="B90" s="47" t="s">
        <v>85</v>
      </c>
      <c r="C90" s="242">
        <f>Dean_Bus!C101+Accounting!C84+Finance!C82+Managemt!C90+Marketing!C82</f>
        <v>41</v>
      </c>
      <c r="D90" s="239">
        <f t="shared" si="25"/>
        <v>0.7068965517241379</v>
      </c>
      <c r="E90" s="101">
        <f>Dean_Bus!E101+Accounting!E84+Finance!E82+Managemt!E90+Marketing!E82</f>
        <v>47</v>
      </c>
      <c r="F90" s="234">
        <f>E90/F$72</f>
        <v>0.78333333333333333</v>
      </c>
      <c r="G90" s="299">
        <f>Dean_Bus!G101+Accounting!G84+Finance!G82+Managemt!G90+Marketing!G82</f>
        <v>46</v>
      </c>
      <c r="H90" s="388">
        <f>G90/H$72</f>
        <v>0.75409836065573765</v>
      </c>
      <c r="I90" s="415">
        <f>Dean_Bus!I101+Accounting!I84+Finance!I82+Managemt!I90+Marketing!I82</f>
        <v>40</v>
      </c>
      <c r="J90" s="234">
        <f>I90/J$72</f>
        <v>0.67796610169491522</v>
      </c>
      <c r="K90" s="299">
        <f>Dean_Bus!K101+Accounting!K84+Finance!K82+Managemt!K90+Marketing!K82</f>
        <v>46</v>
      </c>
      <c r="L90" s="234">
        <f>K90/L$72</f>
        <v>0.71875</v>
      </c>
      <c r="M90" s="299">
        <f>Dean_Bus!M101+Accounting!M84+Finance!M82+Managemt!M90+Marketing!M82</f>
        <v>49</v>
      </c>
      <c r="N90" s="388">
        <f>M90/N$72</f>
        <v>0.74242424242424243</v>
      </c>
      <c r="O90" s="415">
        <f>Dean_Bus!O101+Accounting!O84+Finance!O82+Managemt!O90+Marketing!O82</f>
        <v>46</v>
      </c>
      <c r="P90" s="388">
        <f>O90/P$72</f>
        <v>0.76666666666666672</v>
      </c>
      <c r="Q90" s="415">
        <f>Dean_Bus!Q101+Accounting!Q84+Finance!Q82+Managemt!Q90+Marketing!Q82</f>
        <v>44</v>
      </c>
      <c r="R90" s="388">
        <f>Q90/R$72</f>
        <v>0.73333333333333328</v>
      </c>
      <c r="S90" s="415">
        <f>Dean_Bus!S101+Accounting!S84+Finance!S82+Managemt!S90+Marketing!S82</f>
        <v>45</v>
      </c>
      <c r="T90" s="386">
        <f>S90/T$72</f>
        <v>0.68181818181818177</v>
      </c>
      <c r="U90" s="415">
        <f>Dean_Bus!U101+Accounting!U84+Finance!U82+Managemt!U90+Marketing!U82</f>
        <v>44</v>
      </c>
      <c r="V90" s="386">
        <f>U90/V$72</f>
        <v>0.67692307692307696</v>
      </c>
      <c r="W90" s="415">
        <f>Dean_Bus!W101+Accounting!W84+Finance!W82+Managemt!W90+Marketing!W82</f>
        <v>44</v>
      </c>
      <c r="X90" s="386">
        <f>W90/X$72</f>
        <v>0.66666666666666663</v>
      </c>
      <c r="Y90" s="415">
        <f>Dean_Bus!Y101+Accounting!Y84+Finance!Y82+Managemt!Y90+Marketing!Y82</f>
        <v>44</v>
      </c>
      <c r="Z90" s="386">
        <f>Y90/Z$72</f>
        <v>0.66666666666666663</v>
      </c>
      <c r="AA90" s="583"/>
      <c r="AB90" s="666">
        <f t="shared" ref="AB90:AB93" si="31">AVERAGE(W90,U90,S90,Q90,Y90)</f>
        <v>44.2</v>
      </c>
      <c r="AC90" s="692">
        <f t="shared" ref="AC90:AC93" si="32">AVERAGE(X90,V90,T90,R90,Z90)</f>
        <v>0.68508158508158501</v>
      </c>
    </row>
    <row r="91" spans="1:29" ht="12" x14ac:dyDescent="0.2">
      <c r="B91" s="47" t="s">
        <v>86</v>
      </c>
      <c r="C91" s="242">
        <f>Dean_Bus!C102+Accounting!C85+Finance!C83+Managemt!C91+Marketing!C83</f>
        <v>16</v>
      </c>
      <c r="D91" s="239">
        <f t="shared" si="25"/>
        <v>0.27586206896551724</v>
      </c>
      <c r="E91" s="101">
        <f>Dean_Bus!E102+Accounting!E85+Finance!E83+Managemt!E91+Marketing!E83</f>
        <v>12</v>
      </c>
      <c r="F91" s="234">
        <f>E91/F$72</f>
        <v>0.2</v>
      </c>
      <c r="G91" s="299">
        <f>Dean_Bus!G102+Accounting!G85+Finance!G83+Managemt!G91+Marketing!G83</f>
        <v>14</v>
      </c>
      <c r="H91" s="388">
        <f>G91/H$72</f>
        <v>0.22950819672131148</v>
      </c>
      <c r="I91" s="415">
        <f>Dean_Bus!I102+Accounting!I85+Finance!I83+Managemt!I91+Marketing!I83</f>
        <v>18</v>
      </c>
      <c r="J91" s="234">
        <f>I91/J$72</f>
        <v>0.30508474576271188</v>
      </c>
      <c r="K91" s="299">
        <f>Dean_Bus!K102+Accounting!K85+Finance!K83+Managemt!K91+Marketing!K83</f>
        <v>16</v>
      </c>
      <c r="L91" s="234">
        <f>K91/L$72</f>
        <v>0.25</v>
      </c>
      <c r="M91" s="299">
        <f>Dean_Bus!M102+Accounting!M85+Finance!M83+Managemt!M91+Marketing!M83</f>
        <v>16</v>
      </c>
      <c r="N91" s="388">
        <f>M91/N$72</f>
        <v>0.24242424242424243</v>
      </c>
      <c r="O91" s="415">
        <f>Dean_Bus!O102+Accounting!O85+Finance!O83+Managemt!O91+Marketing!O83</f>
        <v>16</v>
      </c>
      <c r="P91" s="388">
        <f>O91/P$72</f>
        <v>0.26666666666666666</v>
      </c>
      <c r="Q91" s="415">
        <f>Dean_Bus!Q102+Accounting!Q85+Finance!Q83+Managemt!Q91+Marketing!Q83</f>
        <v>15</v>
      </c>
      <c r="R91" s="388">
        <f>Q91/R$72</f>
        <v>0.25</v>
      </c>
      <c r="S91" s="415">
        <f>Dean_Bus!S102+Accounting!S85+Finance!S83+Managemt!S91+Marketing!S83</f>
        <v>20</v>
      </c>
      <c r="T91" s="386">
        <f>S91/T$72</f>
        <v>0.30303030303030304</v>
      </c>
      <c r="U91" s="415">
        <f>Dean_Bus!U102+Accounting!U85+Finance!U83+Managemt!U91+Marketing!U83</f>
        <v>20</v>
      </c>
      <c r="V91" s="386">
        <f>U91/V$72</f>
        <v>0.30769230769230771</v>
      </c>
      <c r="W91" s="415">
        <f>Dean_Bus!W102+Accounting!W85+Finance!W83+Managemt!W91+Marketing!W83</f>
        <v>21</v>
      </c>
      <c r="X91" s="386">
        <f>W91/X$72</f>
        <v>0.31818181818181818</v>
      </c>
      <c r="Y91" s="415">
        <f>Dean_Bus!Y102+Accounting!Y85+Finance!Y83+Managemt!Y91+Marketing!Y83</f>
        <v>19</v>
      </c>
      <c r="Z91" s="386">
        <f>Y91/Z$72</f>
        <v>0.2878787878787879</v>
      </c>
      <c r="AA91" s="583"/>
      <c r="AB91" s="666">
        <f t="shared" si="31"/>
        <v>19</v>
      </c>
      <c r="AC91" s="692">
        <f t="shared" si="32"/>
        <v>0.29335664335664335</v>
      </c>
    </row>
    <row r="92" spans="1:29" ht="12" x14ac:dyDescent="0.2">
      <c r="B92" s="47" t="s">
        <v>87</v>
      </c>
      <c r="C92" s="242">
        <f>Dean_Bus!C103+Accounting!C86+Finance!C84+Managemt!C92+Marketing!C84</f>
        <v>1</v>
      </c>
      <c r="D92" s="239">
        <f t="shared" si="25"/>
        <v>1.7241379310344827E-2</v>
      </c>
      <c r="E92" s="101">
        <f>Dean_Bus!E103+Accounting!E86+Finance!E84+Managemt!E92+Marketing!E84</f>
        <v>1</v>
      </c>
      <c r="F92" s="234">
        <f>E92/F$72</f>
        <v>1.6666666666666666E-2</v>
      </c>
      <c r="G92" s="299">
        <f>Dean_Bus!G103+Accounting!G86+Finance!G84+Managemt!G92+Marketing!G84</f>
        <v>1</v>
      </c>
      <c r="H92" s="388">
        <f>G92/H$72</f>
        <v>1.6393442622950821E-2</v>
      </c>
      <c r="I92" s="415">
        <f>Dean_Bus!I103+Accounting!I86+Finance!I84+Managemt!I92+Marketing!I84</f>
        <v>1</v>
      </c>
      <c r="J92" s="234">
        <f>I92/J$72</f>
        <v>1.6949152542372881E-2</v>
      </c>
      <c r="K92" s="299">
        <f>Dean_Bus!K103+Accounting!K86+Finance!K84+Managemt!K92+Marketing!K84</f>
        <v>2</v>
      </c>
      <c r="L92" s="234">
        <f>K92/L$72</f>
        <v>3.125E-2</v>
      </c>
      <c r="M92" s="299">
        <f>Dean_Bus!M103+Accounting!M86+Finance!M84+Managemt!M92+Marketing!M84</f>
        <v>1</v>
      </c>
      <c r="N92" s="388">
        <f>M92/N$72</f>
        <v>1.5151515151515152E-2</v>
      </c>
      <c r="O92" s="415">
        <f>Dean_Bus!O103+Accounting!O86+Finance!O84+Managemt!O92+Marketing!O84</f>
        <v>1</v>
      </c>
      <c r="P92" s="388">
        <f>O92/P$72</f>
        <v>1.6666666666666666E-2</v>
      </c>
      <c r="Q92" s="415">
        <f>Dean_Bus!Q103+Accounting!Q86+Finance!Q84+Managemt!Q92+Marketing!Q84</f>
        <v>1</v>
      </c>
      <c r="R92" s="388">
        <f>Q92/R$72</f>
        <v>1.6666666666666666E-2</v>
      </c>
      <c r="S92" s="415">
        <f>Dean_Bus!S103+Accounting!S86+Finance!S84+Managemt!S92+Marketing!S84</f>
        <v>1</v>
      </c>
      <c r="T92" s="386">
        <f>S92/T$72</f>
        <v>1.5151515151515152E-2</v>
      </c>
      <c r="U92" s="415">
        <f>Dean_Bus!U103+Accounting!U86+Finance!U84+Managemt!U92+Marketing!U84</f>
        <v>1</v>
      </c>
      <c r="V92" s="386">
        <f>U92/V$72</f>
        <v>1.5384615384615385E-2</v>
      </c>
      <c r="W92" s="415">
        <f>Dean_Bus!W103+Accounting!W86+Finance!W84+Managemt!W92+Marketing!W84</f>
        <v>1</v>
      </c>
      <c r="X92" s="386">
        <f>W92/X$72</f>
        <v>1.5151515151515152E-2</v>
      </c>
      <c r="Y92" s="415">
        <f>Dean_Bus!Y103+Accounting!Y86+Finance!Y84+Managemt!Y92+Marketing!Y84</f>
        <v>3</v>
      </c>
      <c r="Z92" s="386">
        <f>Y92/Z$72</f>
        <v>4.5454545454545456E-2</v>
      </c>
      <c r="AA92" s="583"/>
      <c r="AB92" s="666">
        <f t="shared" si="31"/>
        <v>1.4</v>
      </c>
      <c r="AC92" s="692">
        <f t="shared" si="32"/>
        <v>2.156177156177156E-2</v>
      </c>
    </row>
    <row r="93" spans="1:29" thickBot="1" x14ac:dyDescent="0.25">
      <c r="B93" s="616" t="s">
        <v>88</v>
      </c>
      <c r="C93" s="243">
        <f>Dean_Bus!C104+Accounting!C87+Finance!C85+Managemt!C93+Marketing!C85</f>
        <v>0</v>
      </c>
      <c r="D93" s="240">
        <f t="shared" si="25"/>
        <v>0</v>
      </c>
      <c r="E93" s="132">
        <f>Dean_Bus!E104+Accounting!E87+Finance!E85+Managemt!E93+Marketing!E85</f>
        <v>0</v>
      </c>
      <c r="F93" s="295">
        <f>E93/F$72</f>
        <v>0</v>
      </c>
      <c r="G93" s="342">
        <f>Dean_Bus!G104+Accounting!G87+Finance!G85+Managemt!G93+Marketing!G85</f>
        <v>0</v>
      </c>
      <c r="H93" s="389">
        <f>G93/H$72</f>
        <v>0</v>
      </c>
      <c r="I93" s="416">
        <f>Dean_Bus!I104+Accounting!I87+Finance!I85+Managemt!I93+Marketing!I85</f>
        <v>0</v>
      </c>
      <c r="J93" s="295">
        <f>I93/J$72</f>
        <v>0</v>
      </c>
      <c r="K93" s="342">
        <f>Dean_Bus!K104+Accounting!K87+Finance!K85+Managemt!K93+Marketing!K85</f>
        <v>0</v>
      </c>
      <c r="L93" s="295">
        <f>K93/L$72</f>
        <v>0</v>
      </c>
      <c r="M93" s="342">
        <f>Dean_Bus!M104+Accounting!M87+Finance!M85+Managemt!M93+Marketing!M85</f>
        <v>0</v>
      </c>
      <c r="N93" s="389">
        <f>M93/N$72</f>
        <v>0</v>
      </c>
      <c r="O93" s="416">
        <f>Dean_Bus!O104+Accounting!O87+Finance!O85+Managemt!O93+Marketing!O85</f>
        <v>0</v>
      </c>
      <c r="P93" s="389">
        <f>O93/P$72</f>
        <v>0</v>
      </c>
      <c r="Q93" s="416">
        <f>Dean_Bus!Q104+Accounting!Q87+Finance!Q85+Managemt!Q93+Marketing!Q85</f>
        <v>0</v>
      </c>
      <c r="R93" s="389">
        <f>Q93/R$72</f>
        <v>0</v>
      </c>
      <c r="S93" s="416">
        <f>Dean_Bus!S104+Accounting!S87+Finance!S85+Managemt!S93+Marketing!S85</f>
        <v>0</v>
      </c>
      <c r="T93" s="409">
        <f>S93/T$72</f>
        <v>0</v>
      </c>
      <c r="U93" s="416">
        <f>Dean_Bus!U104+Accounting!U87+Finance!U85+Managemt!U93+Marketing!U85</f>
        <v>0</v>
      </c>
      <c r="V93" s="409">
        <f>U93/V$72</f>
        <v>0</v>
      </c>
      <c r="W93" s="416">
        <f>Dean_Bus!W104+Accounting!W87+Finance!W85+Managemt!W93+Marketing!W85</f>
        <v>0</v>
      </c>
      <c r="X93" s="409">
        <f>W93/X$72</f>
        <v>0</v>
      </c>
      <c r="Y93" s="416">
        <f>Dean_Bus!Y104+Accounting!Y87+Finance!Y85+Managemt!Y93+Marketing!Y85</f>
        <v>0</v>
      </c>
      <c r="Z93" s="409">
        <f>Y93/Z$72</f>
        <v>0</v>
      </c>
      <c r="AA93" s="583"/>
      <c r="AB93" s="667">
        <f t="shared" si="31"/>
        <v>0</v>
      </c>
      <c r="AC93" s="693">
        <f t="shared" si="32"/>
        <v>0</v>
      </c>
    </row>
    <row r="94" spans="1:29" thickTop="1" x14ac:dyDescent="0.2">
      <c r="A94" s="583"/>
      <c r="B94" s="613" t="s">
        <v>115</v>
      </c>
      <c r="C94" s="119"/>
      <c r="D94" s="619"/>
      <c r="E94" s="582"/>
      <c r="F94" s="617"/>
      <c r="G94" s="582"/>
      <c r="H94" s="617"/>
      <c r="I94" s="582"/>
      <c r="J94" s="617"/>
      <c r="K94" s="582"/>
      <c r="L94" s="617"/>
      <c r="M94" s="611"/>
      <c r="N94" s="825"/>
      <c r="O94" s="611"/>
      <c r="P94" s="825"/>
      <c r="Q94" s="611"/>
      <c r="R94" s="981"/>
      <c r="S94" s="611"/>
      <c r="T94" s="981"/>
      <c r="U94" s="611"/>
      <c r="V94" s="981"/>
      <c r="W94" s="611"/>
      <c r="X94" s="981"/>
      <c r="Y94" s="611"/>
      <c r="Z94" s="981"/>
      <c r="AA94" s="583"/>
      <c r="AC94" s="583"/>
    </row>
    <row r="95" spans="1:29" ht="12" x14ac:dyDescent="0.2">
      <c r="A95" s="583"/>
      <c r="B95" s="614"/>
      <c r="C95" s="120" t="s">
        <v>89</v>
      </c>
      <c r="D95" s="618" t="s">
        <v>16</v>
      </c>
      <c r="E95" s="120" t="s">
        <v>89</v>
      </c>
      <c r="F95" s="618" t="s">
        <v>16</v>
      </c>
      <c r="G95" s="120" t="s">
        <v>89</v>
      </c>
      <c r="H95" s="618" t="s">
        <v>16</v>
      </c>
      <c r="I95" s="120" t="s">
        <v>89</v>
      </c>
      <c r="J95" s="618" t="s">
        <v>16</v>
      </c>
      <c r="K95" s="120" t="s">
        <v>89</v>
      </c>
      <c r="L95" s="618" t="s">
        <v>16</v>
      </c>
      <c r="M95" s="120" t="s">
        <v>89</v>
      </c>
      <c r="N95" s="618" t="s">
        <v>16</v>
      </c>
      <c r="O95" s="120" t="s">
        <v>89</v>
      </c>
      <c r="P95" s="618" t="s">
        <v>16</v>
      </c>
      <c r="Q95" s="272" t="s">
        <v>89</v>
      </c>
      <c r="R95" s="618" t="s">
        <v>16</v>
      </c>
      <c r="S95" s="272" t="s">
        <v>89</v>
      </c>
      <c r="T95" s="618" t="s">
        <v>16</v>
      </c>
      <c r="U95" s="272" t="s">
        <v>89</v>
      </c>
      <c r="V95" s="618" t="s">
        <v>16</v>
      </c>
      <c r="W95" s="272" t="s">
        <v>89</v>
      </c>
      <c r="X95" s="618" t="s">
        <v>16</v>
      </c>
      <c r="Y95" s="272" t="s">
        <v>89</v>
      </c>
      <c r="Z95" s="618" t="s">
        <v>16</v>
      </c>
      <c r="AA95" s="583"/>
      <c r="AB95" s="120" t="s">
        <v>89</v>
      </c>
      <c r="AC95" s="587" t="s">
        <v>16</v>
      </c>
    </row>
    <row r="96" spans="1:29" ht="12" x14ac:dyDescent="0.2">
      <c r="A96" s="583"/>
      <c r="B96" s="615" t="s">
        <v>116</v>
      </c>
      <c r="C96" s="766">
        <f>Dean_Bus!C107+Accounting!C90+Finance!C88+Managemt!C96+Marketing!C88</f>
        <v>10</v>
      </c>
      <c r="D96" s="764">
        <f>Dean_Bus!D107+Accounting!D90+Finance!D88+Managemt!D96+Marketing!D88</f>
        <v>3.4000000000000004</v>
      </c>
      <c r="E96" s="766">
        <f>Dean_Bus!E107+Accounting!E90+Finance!E88+Managemt!E96+Marketing!E88</f>
        <v>17</v>
      </c>
      <c r="F96" s="764">
        <f>Dean_Bus!F107+Accounting!F90+Finance!F88+Managemt!F96+Marketing!F88</f>
        <v>6.1000000000000005</v>
      </c>
      <c r="G96" s="766">
        <f>Dean_Bus!G107+Accounting!G90+Finance!G88+Managemt!G96+Marketing!G88</f>
        <v>14</v>
      </c>
      <c r="H96" s="764">
        <f>Dean_Bus!H107+Accounting!H90+Finance!H88+Managemt!H96+Marketing!H88</f>
        <v>4.4000000000000004</v>
      </c>
      <c r="I96" s="766">
        <f>Dean_Bus!I107+Accounting!I90+Finance!I88+Managemt!I96+Marketing!I88</f>
        <v>19</v>
      </c>
      <c r="J96" s="764">
        <f>Dean_Bus!J107+Accounting!J90+Finance!J88+Managemt!J96+Marketing!J88</f>
        <v>6.6000000000000005</v>
      </c>
      <c r="K96" s="766">
        <f>Dean_Bus!K107+Accounting!K90+Finance!K88+Managemt!K96+Marketing!K88</f>
        <v>18</v>
      </c>
      <c r="L96" s="764">
        <f>Dean_Bus!L107+Accounting!L90+Finance!L88+Managemt!L96+Marketing!L88</f>
        <v>7.0000000000000009</v>
      </c>
      <c r="M96" s="766">
        <f>Dean_Bus!M107+Accounting!M90+Finance!M88+Managemt!M96+Marketing!M88</f>
        <v>24</v>
      </c>
      <c r="N96" s="764">
        <f>Dean_Bus!N107+Accounting!N90+Finance!N88+Managemt!N96+Marketing!N88</f>
        <v>8.65</v>
      </c>
      <c r="O96" s="766">
        <f>Dean_Bus!O107+Accounting!O90+Finance!O88+Managemt!O96+Marketing!O88</f>
        <v>20</v>
      </c>
      <c r="P96" s="764">
        <f>Dean_Bus!P107+Accounting!P90+Finance!P88+Managemt!P96+Marketing!P88</f>
        <v>7.75</v>
      </c>
      <c r="Q96" s="766">
        <f>Dean_Bus!Q107+Accounting!Q90+Finance!Q88+Managemt!Q96+Marketing!Q88</f>
        <v>17</v>
      </c>
      <c r="R96" s="764">
        <f>Dean_Bus!R107+Accounting!R90+Finance!R88+Managemt!R96+Marketing!R88</f>
        <v>6.5</v>
      </c>
      <c r="S96" s="766">
        <f>Dean_Bus!S107+Accounting!S90+Finance!S88+Managemt!S96+Marketing!S88</f>
        <v>22</v>
      </c>
      <c r="T96" s="764">
        <f>Dean_Bus!T107+Accounting!T90+Finance!T88+Managemt!T96+Marketing!T88</f>
        <v>8.8000000000000007</v>
      </c>
      <c r="U96" s="766">
        <f>Dean_Bus!U107+Accounting!U90+Finance!U88+Managemt!U96+Marketing!U88</f>
        <v>17</v>
      </c>
      <c r="V96" s="764">
        <f>Dean_Bus!V107+Accounting!V90+Finance!V88+Managemt!V96+Marketing!V88</f>
        <v>6.3000000000000007</v>
      </c>
      <c r="W96" s="766">
        <f>Dean_Bus!W107+Accounting!W90+Finance!W88+Managemt!W96+Marketing!W88</f>
        <v>21</v>
      </c>
      <c r="X96" s="764">
        <f>Dean_Bus!X107+Accounting!X90+Finance!X88+Managemt!X96+Marketing!X88</f>
        <v>5.8</v>
      </c>
      <c r="Y96" s="766">
        <f>Dean_Bus!Y107+Accounting!Y90+Finance!Y88+Managemt!Y96+Marketing!Y88</f>
        <v>19</v>
      </c>
      <c r="Z96" s="764">
        <f>Dean_Bus!Z107+Accounting!Z90+Finance!Z88+Managemt!Z96+Marketing!Z88</f>
        <v>5.0999999999999996</v>
      </c>
      <c r="AA96" s="583"/>
      <c r="AB96" s="792">
        <f>AVERAGE(W96,U96,S96,Q96,Y96)</f>
        <v>19.2</v>
      </c>
      <c r="AC96" s="793">
        <f t="shared" ref="AC96:AC98" si="33">AVERAGE(X96,V96,T96,R96,Z96)</f>
        <v>6.5</v>
      </c>
    </row>
    <row r="97" spans="1:31" ht="12" x14ac:dyDescent="0.2">
      <c r="A97" s="583"/>
      <c r="B97" s="615" t="s">
        <v>117</v>
      </c>
      <c r="C97" s="766">
        <f>Dean_Bus!C108+Accounting!C91+Finance!C89+Managemt!C97+Marketing!C89</f>
        <v>13</v>
      </c>
      <c r="D97" s="764">
        <f>Dean_Bus!D108+Accounting!D91+Finance!D89+Managemt!D97+Marketing!D89</f>
        <v>4.1000000000000005</v>
      </c>
      <c r="E97" s="766">
        <f>Dean_Bus!E108+Accounting!E91+Finance!E89+Managemt!E97+Marketing!E89</f>
        <v>15</v>
      </c>
      <c r="F97" s="764">
        <f>Dean_Bus!F108+Accounting!F91+Finance!F89+Managemt!F97+Marketing!F89</f>
        <v>4.5</v>
      </c>
      <c r="G97" s="766">
        <f>Dean_Bus!G108+Accounting!G91+Finance!G89+Managemt!G97+Marketing!G89</f>
        <v>15</v>
      </c>
      <c r="H97" s="764">
        <f>Dean_Bus!H108+Accounting!H91+Finance!H89+Managemt!H97+Marketing!H89</f>
        <v>4.5</v>
      </c>
      <c r="I97" s="766">
        <f>Dean_Bus!I108+Accounting!I91+Finance!I89+Managemt!I97+Marketing!I89</f>
        <v>16</v>
      </c>
      <c r="J97" s="764">
        <f>Dean_Bus!J108+Accounting!J91+Finance!J89+Managemt!J97+Marketing!J89</f>
        <v>4.7</v>
      </c>
      <c r="K97" s="766">
        <f>Dean_Bus!K108+Accounting!K91+Finance!K89+Managemt!K97+Marketing!K89</f>
        <v>16</v>
      </c>
      <c r="L97" s="764">
        <f>Dean_Bus!L108+Accounting!L91+Finance!L89+Managemt!L97+Marketing!L89</f>
        <v>4.4000000000000004</v>
      </c>
      <c r="M97" s="766">
        <f>Dean_Bus!M108+Accounting!M91+Finance!M89+Managemt!M97+Marketing!M89</f>
        <v>14</v>
      </c>
      <c r="N97" s="764">
        <f>Dean_Bus!N108+Accounting!N91+Finance!N89+Managemt!N97+Marketing!N89</f>
        <v>3.9000000000000004</v>
      </c>
      <c r="O97" s="766">
        <f>Dean_Bus!O108+Accounting!O91+Finance!O89+Managemt!O97+Marketing!O89</f>
        <v>12</v>
      </c>
      <c r="P97" s="764">
        <f>Dean_Bus!P108+Accounting!P91+Finance!P89+Managemt!P97+Marketing!P89</f>
        <v>3.9</v>
      </c>
      <c r="Q97" s="766">
        <f>Dean_Bus!Q108+Accounting!Q91+Finance!Q89+Managemt!Q97+Marketing!Q89</f>
        <v>8</v>
      </c>
      <c r="R97" s="764">
        <f>Dean_Bus!R108+Accounting!R91+Finance!R89+Managemt!R97+Marketing!R89</f>
        <v>3.1999999999999997</v>
      </c>
      <c r="S97" s="766">
        <f>Dean_Bus!S108+Accounting!S91+Finance!S89+Managemt!S97+Marketing!S89</f>
        <v>15</v>
      </c>
      <c r="T97" s="764">
        <f>Dean_Bus!T108+Accounting!T91+Finance!T89+Managemt!T97+Marketing!T89</f>
        <v>4.2</v>
      </c>
      <c r="U97" s="766">
        <f>Dean_Bus!U108+Accounting!U91+Finance!U89+Managemt!U97+Marketing!U89</f>
        <v>13</v>
      </c>
      <c r="V97" s="764">
        <f>Dean_Bus!V108+Accounting!V91+Finance!V89+Managemt!V97+Marketing!V89</f>
        <v>3.5</v>
      </c>
      <c r="W97" s="766">
        <f>Dean_Bus!W108+Accounting!W91+Finance!W89+Managemt!W97+Marketing!W89</f>
        <v>16</v>
      </c>
      <c r="X97" s="764">
        <f>Dean_Bus!X108+Accounting!X91+Finance!X89+Managemt!X97+Marketing!X89</f>
        <v>5.2</v>
      </c>
      <c r="Y97" s="766">
        <f>Dean_Bus!Y108+Accounting!Y91+Finance!Y89+Managemt!Y97+Marketing!Y89</f>
        <v>18</v>
      </c>
      <c r="Z97" s="764">
        <f>Dean_Bus!Z108+Accounting!Z91+Finance!Z89+Managemt!Z97+Marketing!Z89</f>
        <v>6.3000000000000007</v>
      </c>
      <c r="AA97" s="583"/>
      <c r="AB97" s="792">
        <f t="shared" ref="AB97:AB98" si="34">AVERAGE(W97,U97,S97,Q97,Y97)</f>
        <v>14</v>
      </c>
      <c r="AC97" s="793">
        <f>AVERAGE(X97,V97,T97,R97,Z97)</f>
        <v>4.4799999999999995</v>
      </c>
    </row>
    <row r="98" spans="1:31" thickBot="1" x14ac:dyDescent="0.25">
      <c r="A98" s="583"/>
      <c r="B98" s="616" t="s">
        <v>147</v>
      </c>
      <c r="C98" s="767">
        <f>Dean_Bus!C109+Accounting!C92+Finance!C90+Managemt!C98+Marketing!C90</f>
        <v>0</v>
      </c>
      <c r="D98" s="765">
        <f>Dean_Bus!D109+Accounting!D92+Finance!D90+Managemt!D98+Marketing!D90</f>
        <v>0</v>
      </c>
      <c r="E98" s="767">
        <f>Dean_Bus!E109+Accounting!E92+Finance!E90+Managemt!E98+Marketing!E90</f>
        <v>0</v>
      </c>
      <c r="F98" s="765">
        <f>Dean_Bus!F109+Accounting!F92+Finance!F90+Managemt!F98+Marketing!F90</f>
        <v>0</v>
      </c>
      <c r="G98" s="767">
        <f>Dean_Bus!G109+Accounting!G92+Finance!G90+Managemt!G98+Marketing!G90</f>
        <v>1</v>
      </c>
      <c r="H98" s="765">
        <f>Dean_Bus!H109+Accounting!H92+Finance!H90+Managemt!H98+Marketing!H90</f>
        <v>0.5</v>
      </c>
      <c r="I98" s="767">
        <f>Dean_Bus!I109+Accounting!I92+Finance!I90+Managemt!I98+Marketing!I90</f>
        <v>1</v>
      </c>
      <c r="J98" s="765">
        <f>Dean_Bus!J109+Accounting!J92+Finance!J90+Managemt!J98+Marketing!J90</f>
        <v>0.5</v>
      </c>
      <c r="K98" s="767">
        <f>Dean_Bus!K109+Accounting!K92+Finance!K90+Managemt!K98+Marketing!K90</f>
        <v>0</v>
      </c>
      <c r="L98" s="765">
        <f>Dean_Bus!L109+Accounting!L92+Finance!L90+Managemt!L98+Marketing!L90</f>
        <v>0</v>
      </c>
      <c r="M98" s="768">
        <f>Dean_Bus!M109+Accounting!M92+Finance!M90+Managemt!M98+Marketing!M90</f>
        <v>0</v>
      </c>
      <c r="N98" s="765">
        <f>Dean_Bus!N109+Accounting!N92+Finance!N90+Managemt!N98+Marketing!N90</f>
        <v>0</v>
      </c>
      <c r="O98" s="768">
        <f>Dean_Bus!O109+Accounting!O92+Finance!O90+Managemt!O98+Marketing!O90</f>
        <v>1</v>
      </c>
      <c r="P98" s="765">
        <f>Dean_Bus!P109+Accounting!P92+Finance!P90+Managemt!P98+Marketing!P90</f>
        <v>0.4</v>
      </c>
      <c r="Q98" s="768">
        <f>Dean_Bus!Q109+Accounting!Q92+Finance!Q90+Managemt!Q98+Marketing!Q90</f>
        <v>2</v>
      </c>
      <c r="R98" s="765">
        <f>Dean_Bus!R109+Accounting!R92+Finance!R90+Managemt!R98+Marketing!R90</f>
        <v>0.5</v>
      </c>
      <c r="S98" s="768">
        <f>Dean_Bus!S109+Accounting!S92+Finance!S90+Managemt!S98+Marketing!S90</f>
        <v>0</v>
      </c>
      <c r="T98" s="765">
        <f>Dean_Bus!T109+Accounting!T92+Finance!T90+Managemt!T98+Marketing!T90</f>
        <v>0</v>
      </c>
      <c r="U98" s="768">
        <f>Dean_Bus!U109+Accounting!U92+Finance!U90+Managemt!U98+Marketing!U90</f>
        <v>0</v>
      </c>
      <c r="V98" s="765">
        <f>Dean_Bus!V109+Accounting!V92+Finance!V90+Managemt!V98+Marketing!V90</f>
        <v>0</v>
      </c>
      <c r="W98" s="768">
        <f>Dean_Bus!W109+Accounting!W92+Finance!W90+Managemt!W98+Marketing!W90</f>
        <v>0</v>
      </c>
      <c r="X98" s="765">
        <f>Dean_Bus!X109+Accounting!X92+Finance!X90+Managemt!X98+Marketing!X90</f>
        <v>0</v>
      </c>
      <c r="Y98" s="768">
        <f>Dean_Bus!Y109+Accounting!Y92+Finance!Y90+Managemt!Y98+Marketing!Y90</f>
        <v>0</v>
      </c>
      <c r="Z98" s="765">
        <f>Dean_Bus!Z109+Accounting!Z92+Finance!Z90+Managemt!Z98+Marketing!Z90</f>
        <v>0</v>
      </c>
      <c r="AA98" s="583"/>
      <c r="AB98" s="794">
        <f t="shared" si="34"/>
        <v>0.4</v>
      </c>
      <c r="AC98" s="795">
        <f t="shared" si="33"/>
        <v>0.1</v>
      </c>
      <c r="AE98" s="59"/>
    </row>
    <row r="99" spans="1:31" ht="14.25" customHeight="1" thickTop="1" thickBot="1" x14ac:dyDescent="0.3">
      <c r="A99" s="626"/>
      <c r="B99" s="628"/>
      <c r="C99" s="1141" t="s">
        <v>41</v>
      </c>
      <c r="D99" s="1142"/>
      <c r="E99" s="1141" t="s">
        <v>42</v>
      </c>
      <c r="F99" s="1142"/>
      <c r="G99" s="1145" t="s">
        <v>132</v>
      </c>
      <c r="H99" s="1146"/>
      <c r="I99" s="1145" t="s">
        <v>133</v>
      </c>
      <c r="J99" s="1146"/>
      <c r="K99" s="1145" t="s">
        <v>134</v>
      </c>
      <c r="L99" s="1146"/>
      <c r="M99" s="1149" t="s">
        <v>135</v>
      </c>
      <c r="N99" s="1136"/>
      <c r="O99" s="1135" t="s">
        <v>171</v>
      </c>
      <c r="P99" s="1136"/>
      <c r="Q99" s="1135" t="s">
        <v>170</v>
      </c>
      <c r="R99" s="1136"/>
      <c r="S99" s="1135" t="s">
        <v>177</v>
      </c>
      <c r="T99" s="1136"/>
      <c r="U99" s="1135" t="s">
        <v>180</v>
      </c>
      <c r="V99" s="1136"/>
      <c r="W99" s="1135" t="s">
        <v>184</v>
      </c>
      <c r="X99" s="1136"/>
      <c r="Y99" s="1135" t="s">
        <v>188</v>
      </c>
      <c r="Z99" s="1136"/>
      <c r="AA99" s="940"/>
      <c r="AB99" s="103"/>
      <c r="AC99" s="605"/>
    </row>
    <row r="100" spans="1:31" x14ac:dyDescent="0.2">
      <c r="B100" s="627" t="s">
        <v>143</v>
      </c>
      <c r="C100" s="1"/>
      <c r="D100" s="639"/>
      <c r="E100" s="660"/>
      <c r="F100" s="688"/>
      <c r="G100" s="661"/>
      <c r="H100" s="662"/>
      <c r="I100" s="631"/>
      <c r="J100" s="632"/>
      <c r="K100" s="630"/>
      <c r="L100" s="659"/>
      <c r="M100" s="630"/>
      <c r="N100" s="657"/>
      <c r="O100" s="245"/>
      <c r="P100" s="918"/>
      <c r="Q100" s="1044"/>
      <c r="R100" s="1045"/>
      <c r="S100" s="1044"/>
      <c r="T100" s="1045"/>
      <c r="U100" s="245"/>
      <c r="V100" s="918"/>
      <c r="W100" s="1044"/>
      <c r="X100" s="1045"/>
      <c r="Y100" s="1044"/>
      <c r="Z100" s="1045"/>
      <c r="AA100" s="59"/>
      <c r="AB100" s="59"/>
      <c r="AC100" s="59"/>
    </row>
    <row r="101" spans="1:31" ht="12" x14ac:dyDescent="0.2">
      <c r="A101" s="583"/>
      <c r="B101" s="888" t="s">
        <v>122</v>
      </c>
      <c r="C101" s="1202">
        <f>Accounting!C95+Finance!C93+Managemt!C101+Marketing!C93</f>
        <v>15.600000000000001</v>
      </c>
      <c r="D101" s="1203"/>
      <c r="E101" s="755"/>
      <c r="F101" s="756"/>
      <c r="G101" s="757"/>
      <c r="H101" s="758"/>
      <c r="I101" s="1137">
        <f>Accounting!I95+Finance!I93+Managemt!I101+Marketing!I93+Dean_Bus!I112</f>
        <v>14.65</v>
      </c>
      <c r="J101" s="1138"/>
      <c r="K101" s="638"/>
      <c r="L101" s="690"/>
      <c r="M101" s="638"/>
      <c r="N101" s="657"/>
      <c r="O101" s="253"/>
      <c r="P101" s="953">
        <f>Dean_Bus!P112+Accounting!P95+Finance!P93+Managemt!P101+Marketing!P93</f>
        <v>40.099999999999994</v>
      </c>
      <c r="Q101" s="1046"/>
      <c r="R101" s="1045"/>
      <c r="S101" s="1046"/>
      <c r="T101" s="1045"/>
      <c r="U101" s="253"/>
      <c r="V101" s="953">
        <v>37.799999999999997</v>
      </c>
      <c r="W101" s="1046"/>
      <c r="X101" s="1045"/>
      <c r="Y101" s="1046"/>
      <c r="Z101" s="1045"/>
      <c r="AA101" s="59"/>
      <c r="AB101" s="59"/>
      <c r="AC101" s="949"/>
    </row>
    <row r="102" spans="1:31" ht="12" customHeight="1" x14ac:dyDescent="0.2">
      <c r="A102" s="583"/>
      <c r="B102" s="889" t="s">
        <v>123</v>
      </c>
      <c r="C102" s="1202">
        <f>Accounting!C96+Finance!C94+Managemt!C102+Marketing!C94</f>
        <v>2.5</v>
      </c>
      <c r="D102" s="1231"/>
      <c r="E102" s="755"/>
      <c r="F102" s="756"/>
      <c r="G102" s="757"/>
      <c r="H102" s="758"/>
      <c r="I102" s="1137">
        <f>Accounting!I96+Finance!I94+Managemt!I102+Marketing!I94</f>
        <v>2.5</v>
      </c>
      <c r="J102" s="1138"/>
      <c r="K102" s="638"/>
      <c r="L102" s="690"/>
      <c r="M102" s="638"/>
      <c r="N102" s="657"/>
      <c r="O102" s="253"/>
      <c r="P102" s="953"/>
      <c r="Q102" s="1046"/>
      <c r="R102" s="1045"/>
      <c r="S102" s="1046"/>
      <c r="T102" s="1045"/>
      <c r="U102" s="253"/>
      <c r="V102" s="953"/>
      <c r="W102" s="1046"/>
      <c r="X102" s="1045"/>
      <c r="Y102" s="1046"/>
      <c r="Z102" s="1045"/>
      <c r="AA102" s="59"/>
      <c r="AB102" s="59"/>
      <c r="AC102" s="949"/>
    </row>
    <row r="103" spans="1:31" ht="12" customHeight="1" x14ac:dyDescent="0.2">
      <c r="A103" s="583"/>
      <c r="B103" s="889" t="s">
        <v>124</v>
      </c>
      <c r="C103" s="1232"/>
      <c r="D103" s="1231"/>
      <c r="E103" s="755"/>
      <c r="F103" s="756"/>
      <c r="G103" s="757"/>
      <c r="H103" s="758"/>
      <c r="I103" s="1233"/>
      <c r="J103" s="1234"/>
      <c r="K103" s="638"/>
      <c r="L103" s="690"/>
      <c r="M103" s="638"/>
      <c r="N103" s="657"/>
      <c r="O103" s="253"/>
      <c r="P103" s="953">
        <f>Dean_Bus!P114+Accounting!P97+Finance!P95+Managemt!P103+Marketing!P95</f>
        <v>2</v>
      </c>
      <c r="Q103" s="1046"/>
      <c r="R103" s="1045"/>
      <c r="S103" s="1046"/>
      <c r="T103" s="1045"/>
      <c r="U103" s="253"/>
      <c r="V103" s="953">
        <v>2</v>
      </c>
      <c r="W103" s="1046"/>
      <c r="X103" s="1045"/>
      <c r="Y103" s="1046"/>
      <c r="Z103" s="1045"/>
      <c r="AA103" s="59"/>
      <c r="AB103" s="59"/>
      <c r="AC103" s="949" t="s">
        <v>26</v>
      </c>
    </row>
    <row r="104" spans="1:31" ht="12" x14ac:dyDescent="0.2">
      <c r="A104" s="583"/>
      <c r="B104" s="888" t="s">
        <v>125</v>
      </c>
      <c r="C104" s="1202">
        <f>Accounting!C98+Finance!C96+Managemt!C104+Marketing!C96</f>
        <v>1.6</v>
      </c>
      <c r="D104" s="1203"/>
      <c r="E104" s="755"/>
      <c r="F104" s="756"/>
      <c r="G104" s="757"/>
      <c r="H104" s="758"/>
      <c r="I104" s="1137">
        <f>Accounting!I98+Finance!I96+Managemt!I104+Marketing!I96</f>
        <v>2</v>
      </c>
      <c r="J104" s="1138"/>
      <c r="K104" s="638"/>
      <c r="L104" s="690"/>
      <c r="M104" s="638"/>
      <c r="N104" s="657"/>
      <c r="O104" s="253"/>
      <c r="P104" s="953">
        <f>Dean_Bus!P115+Accounting!P98+Finance!P96+Managemt!P104+Marketing!P96</f>
        <v>2.3000000000000003</v>
      </c>
      <c r="Q104" s="1046"/>
      <c r="R104" s="1045"/>
      <c r="S104" s="1046"/>
      <c r="T104" s="1045"/>
      <c r="U104" s="253"/>
      <c r="V104" s="953">
        <v>2</v>
      </c>
      <c r="W104" s="1046"/>
      <c r="X104" s="1045"/>
      <c r="Y104" s="1046"/>
      <c r="Z104" s="1045"/>
      <c r="AA104" s="59"/>
      <c r="AB104" s="59" t="s">
        <v>26</v>
      </c>
      <c r="AC104" s="949"/>
    </row>
    <row r="105" spans="1:31" ht="12" x14ac:dyDescent="0.2">
      <c r="A105" s="583"/>
      <c r="B105" s="890" t="s">
        <v>126</v>
      </c>
      <c r="C105" s="1202">
        <f>Accounting!C99+Finance!C97+Managemt!C105+Marketing!C97</f>
        <v>17.149999999999999</v>
      </c>
      <c r="D105" s="1203"/>
      <c r="E105" s="755"/>
      <c r="F105" s="756"/>
      <c r="G105" s="757"/>
      <c r="H105" s="758"/>
      <c r="I105" s="1137">
        <f>Accounting!I99+Finance!I97+Managemt!I105+Marketing!I97</f>
        <v>17.850000000000001</v>
      </c>
      <c r="J105" s="1138"/>
      <c r="K105" s="638"/>
      <c r="L105" s="690"/>
      <c r="M105" s="638"/>
      <c r="N105" s="657"/>
      <c r="O105" s="253"/>
      <c r="P105" s="953">
        <f>Dean_Bus!P116+Accounting!P99+Finance!P97+Managemt!P105+Marketing!P97</f>
        <v>23.2</v>
      </c>
      <c r="Q105" s="1046"/>
      <c r="R105" s="1045"/>
      <c r="S105" s="1046"/>
      <c r="T105" s="1045"/>
      <c r="U105" s="253"/>
      <c r="V105" s="953">
        <f>25.6+4.8</f>
        <v>30.400000000000002</v>
      </c>
      <c r="W105" s="1046"/>
      <c r="X105" s="1045"/>
      <c r="Y105" s="1046"/>
      <c r="Z105" s="1045"/>
      <c r="AA105" s="59"/>
      <c r="AB105" s="59"/>
      <c r="AC105" s="949"/>
    </row>
    <row r="106" spans="1:31" ht="12" x14ac:dyDescent="0.2">
      <c r="A106" s="583"/>
      <c r="B106" s="890" t="s">
        <v>127</v>
      </c>
      <c r="C106" s="1202">
        <f>SUM(C101:D105)</f>
        <v>36.85</v>
      </c>
      <c r="D106" s="1203"/>
      <c r="E106" s="755"/>
      <c r="F106" s="756"/>
      <c r="G106" s="757"/>
      <c r="H106" s="758"/>
      <c r="I106" s="1137">
        <f>SUM(I101:J105)</f>
        <v>37</v>
      </c>
      <c r="J106" s="1138"/>
      <c r="K106" s="638"/>
      <c r="L106" s="690"/>
      <c r="M106" s="638"/>
      <c r="N106" s="657"/>
      <c r="O106" s="253"/>
      <c r="P106" s="953">
        <f>Dean_Bus!P117+Accounting!P100+Finance!P98+Managemt!P106+Marketing!P98</f>
        <v>67.599999999999994</v>
      </c>
      <c r="Q106" s="1046"/>
      <c r="R106" s="1045"/>
      <c r="S106" s="1046"/>
      <c r="T106" s="1045"/>
      <c r="U106" s="253"/>
      <c r="V106" s="953">
        <f>SUM(V101:V105)</f>
        <v>72.2</v>
      </c>
      <c r="W106" s="1046"/>
      <c r="X106" s="1045"/>
      <c r="Y106" s="1046"/>
      <c r="Z106" s="1045"/>
      <c r="AA106" s="59"/>
      <c r="AB106" s="59"/>
      <c r="AC106" s="949"/>
    </row>
    <row r="107" spans="1:31" thickBot="1" x14ac:dyDescent="0.25">
      <c r="A107" s="583"/>
      <c r="B107" s="891" t="s">
        <v>137</v>
      </c>
      <c r="C107" s="1202"/>
      <c r="D107" s="1203"/>
      <c r="E107" s="629"/>
      <c r="F107" s="689"/>
      <c r="G107" s="630"/>
      <c r="H107" s="657"/>
      <c r="I107" s="1202"/>
      <c r="J107" s="1203"/>
      <c r="K107" s="638"/>
      <c r="L107" s="690"/>
      <c r="M107" s="638"/>
      <c r="N107" s="657"/>
      <c r="O107" s="253"/>
      <c r="P107" s="953"/>
      <c r="Q107" s="1046"/>
      <c r="R107" s="1045"/>
      <c r="S107" s="1046"/>
      <c r="T107" s="1045"/>
      <c r="U107" s="253"/>
      <c r="V107" s="953"/>
      <c r="W107" s="1046"/>
      <c r="X107" s="1045"/>
      <c r="Y107" s="1046"/>
      <c r="Z107" s="1045"/>
      <c r="AA107" s="59"/>
      <c r="AB107" s="59"/>
      <c r="AC107" s="949"/>
    </row>
    <row r="108" spans="1:31" ht="12" x14ac:dyDescent="0.2">
      <c r="A108" s="583"/>
      <c r="B108" s="888" t="s">
        <v>128</v>
      </c>
      <c r="C108" s="1212">
        <f>Accounting!C102+Finance!C100+Managemt!C108+Marketing!C100</f>
        <v>7710</v>
      </c>
      <c r="D108" s="1213"/>
      <c r="E108" s="743"/>
      <c r="F108" s="744"/>
      <c r="G108" s="745"/>
      <c r="H108" s="746"/>
      <c r="I108" s="1212">
        <f>Accounting!I102+Finance!I100+Managemt!I108+Marketing!I100+Dean_Bus!I119</f>
        <v>5950</v>
      </c>
      <c r="J108" s="1213"/>
      <c r="K108" s="638"/>
      <c r="L108" s="690"/>
      <c r="M108" s="638"/>
      <c r="N108" s="657"/>
      <c r="O108" s="253"/>
      <c r="P108" s="958">
        <f>Dean_Bus!P119+Accounting!P102+Finance!P100+Managemt!P108+Marketing!P100</f>
        <v>7127</v>
      </c>
      <c r="Q108" s="1046"/>
      <c r="R108" s="1045"/>
      <c r="S108" s="1046"/>
      <c r="T108" s="1045"/>
      <c r="U108" s="253"/>
      <c r="V108" s="958">
        <v>6941</v>
      </c>
      <c r="W108" s="1046"/>
      <c r="X108" s="1045"/>
      <c r="Y108" s="1046"/>
      <c r="Z108" s="1045"/>
      <c r="AA108" s="59"/>
      <c r="AB108" s="59"/>
      <c r="AC108" s="738"/>
    </row>
    <row r="109" spans="1:31" ht="12" x14ac:dyDescent="0.2">
      <c r="A109" s="583"/>
      <c r="B109" s="890" t="s">
        <v>129</v>
      </c>
      <c r="C109" s="1212">
        <f>Accounting!C103+Finance!C101+Managemt!C109+Marketing!C101</f>
        <v>1170</v>
      </c>
      <c r="D109" s="1213"/>
      <c r="E109" s="743"/>
      <c r="F109" s="744"/>
      <c r="G109" s="745"/>
      <c r="H109" s="746"/>
      <c r="I109" s="1212">
        <f>Accounting!I103+Finance!I101+Managemt!I109+Marketing!I101</f>
        <v>1293</v>
      </c>
      <c r="J109" s="1213"/>
      <c r="K109" s="638"/>
      <c r="L109" s="690"/>
      <c r="M109" s="638"/>
      <c r="N109" s="657"/>
      <c r="O109" s="253"/>
      <c r="P109" s="958">
        <f>Dean_Bus!P120+Accounting!P103+Finance!P101+Managemt!P109+Marketing!P101</f>
        <v>1026</v>
      </c>
      <c r="Q109" s="1046"/>
      <c r="R109" s="1045"/>
      <c r="S109" s="1046"/>
      <c r="T109" s="1045"/>
      <c r="U109" s="253"/>
      <c r="V109" s="958">
        <v>1047</v>
      </c>
      <c r="W109" s="1046"/>
      <c r="X109" s="1045"/>
      <c r="Y109" s="1046"/>
      <c r="Z109" s="1045"/>
      <c r="AA109" s="59"/>
      <c r="AB109" s="59"/>
      <c r="AC109" s="738"/>
    </row>
    <row r="110" spans="1:31" ht="12" x14ac:dyDescent="0.2">
      <c r="A110" s="583"/>
      <c r="B110" s="890" t="s">
        <v>130</v>
      </c>
      <c r="C110" s="1212">
        <f>Accounting!C104+Finance!C102+Managemt!C110+Marketing!C102</f>
        <v>12095</v>
      </c>
      <c r="D110" s="1213"/>
      <c r="E110" s="743"/>
      <c r="F110" s="744"/>
      <c r="G110" s="745"/>
      <c r="H110" s="746"/>
      <c r="I110" s="1212">
        <f>Accounting!I104+Finance!I102+Managemt!I110+Marketing!I102</f>
        <v>13034</v>
      </c>
      <c r="J110" s="1213"/>
      <c r="K110" s="638"/>
      <c r="L110" s="690"/>
      <c r="M110" s="638"/>
      <c r="N110" s="657"/>
      <c r="O110" s="253"/>
      <c r="P110" s="958">
        <f>Dean_Bus!P121+Accounting!P104+Finance!P102+Managemt!P110+Marketing!P102</f>
        <v>12903</v>
      </c>
      <c r="Q110" s="1046"/>
      <c r="R110" s="1045"/>
      <c r="S110" s="1046"/>
      <c r="T110" s="1045"/>
      <c r="U110" s="253"/>
      <c r="V110" s="958">
        <f>13702+1947</f>
        <v>15649</v>
      </c>
      <c r="W110" s="1046"/>
      <c r="X110" s="1045"/>
      <c r="Y110" s="1046"/>
      <c r="Z110" s="1045"/>
      <c r="AA110" s="59"/>
      <c r="AB110" s="59"/>
      <c r="AC110" s="738"/>
    </row>
    <row r="111" spans="1:31" ht="12" x14ac:dyDescent="0.2">
      <c r="A111" s="583"/>
      <c r="B111" s="890" t="s">
        <v>142</v>
      </c>
      <c r="C111" s="1212">
        <f>SUM(C108:D110)</f>
        <v>20975</v>
      </c>
      <c r="D111" s="1213"/>
      <c r="E111" s="743"/>
      <c r="F111" s="744"/>
      <c r="G111" s="745"/>
      <c r="H111" s="746"/>
      <c r="I111" s="1212">
        <f>SUM(I108:J110)</f>
        <v>20277</v>
      </c>
      <c r="J111" s="1213"/>
      <c r="K111" s="638"/>
      <c r="L111" s="690"/>
      <c r="M111" s="638"/>
      <c r="N111" s="657"/>
      <c r="O111" s="253"/>
      <c r="P111" s="958">
        <f>Dean_Bus!P122+Accounting!P105+Finance!P103+Managemt!P111+Marketing!P103</f>
        <v>21056</v>
      </c>
      <c r="Q111" s="1046"/>
      <c r="R111" s="1045"/>
      <c r="S111" s="1046"/>
      <c r="T111" s="1045"/>
      <c r="U111" s="253"/>
      <c r="V111" s="958">
        <f>SUM(V108:V110)</f>
        <v>23637</v>
      </c>
      <c r="W111" s="1046"/>
      <c r="X111" s="1045"/>
      <c r="Y111" s="1046"/>
      <c r="Z111" s="1045"/>
      <c r="AA111" s="59"/>
      <c r="AB111" s="59"/>
      <c r="AC111" s="738"/>
    </row>
    <row r="112" spans="1:31" thickBot="1" x14ac:dyDescent="0.25">
      <c r="A112" s="583"/>
      <c r="B112" s="891" t="s">
        <v>138</v>
      </c>
      <c r="C112" s="1137"/>
      <c r="D112" s="1138"/>
      <c r="E112" s="629"/>
      <c r="F112" s="689"/>
      <c r="G112" s="630"/>
      <c r="H112" s="657"/>
      <c r="I112" s="1137"/>
      <c r="J112" s="1138"/>
      <c r="K112" s="638"/>
      <c r="L112" s="690"/>
      <c r="M112" s="638"/>
      <c r="N112" s="657"/>
      <c r="O112" s="253"/>
      <c r="P112" s="958"/>
      <c r="Q112" s="1046"/>
      <c r="R112" s="1045"/>
      <c r="S112" s="1046"/>
      <c r="T112" s="1045"/>
      <c r="U112" s="253"/>
      <c r="V112" s="958"/>
      <c r="W112" s="1046"/>
      <c r="X112" s="1045"/>
      <c r="Y112" s="1046"/>
      <c r="Z112" s="1045"/>
      <c r="AA112" s="59"/>
      <c r="AB112" s="59"/>
      <c r="AC112" s="738"/>
    </row>
    <row r="113" spans="1:29" ht="12" x14ac:dyDescent="0.2">
      <c r="A113" s="583"/>
      <c r="B113" s="888" t="s">
        <v>139</v>
      </c>
      <c r="C113" s="1137">
        <f>C108/C101</f>
        <v>494.23076923076917</v>
      </c>
      <c r="D113" s="1138"/>
      <c r="E113" s="747"/>
      <c r="F113" s="748"/>
      <c r="G113" s="749"/>
      <c r="H113" s="750"/>
      <c r="I113" s="1139">
        <f>I108/I101</f>
        <v>406.14334470989758</v>
      </c>
      <c r="J113" s="1140"/>
      <c r="K113" s="638"/>
      <c r="L113" s="691"/>
      <c r="M113" s="638"/>
      <c r="N113" s="657"/>
      <c r="O113" s="253"/>
      <c r="P113" s="960">
        <f>P108/P101</f>
        <v>177.73067331670825</v>
      </c>
      <c r="Q113" s="1046"/>
      <c r="R113" s="1045"/>
      <c r="S113" s="1046"/>
      <c r="T113" s="1045"/>
      <c r="U113" s="253"/>
      <c r="V113" s="960">
        <f>V108/V101</f>
        <v>183.62433862433863</v>
      </c>
      <c r="W113" s="1046"/>
      <c r="X113" s="1045"/>
      <c r="Y113" s="1046"/>
      <c r="Z113" s="1045"/>
      <c r="AA113" s="59"/>
      <c r="AB113" s="59"/>
      <c r="AC113" s="738"/>
    </row>
    <row r="114" spans="1:29" ht="12" x14ac:dyDescent="0.2">
      <c r="A114" s="583"/>
      <c r="B114" s="890" t="s">
        <v>140</v>
      </c>
      <c r="C114" s="1137">
        <f>C109/SUM(C102:D104)</f>
        <v>285.36585365853659</v>
      </c>
      <c r="D114" s="1138"/>
      <c r="E114" s="747"/>
      <c r="F114" s="748"/>
      <c r="G114" s="749"/>
      <c r="H114" s="750"/>
      <c r="I114" s="1139">
        <f>I109/SUM(I102:J104)</f>
        <v>287.33333333333331</v>
      </c>
      <c r="J114" s="1140"/>
      <c r="K114" s="638"/>
      <c r="L114" s="691"/>
      <c r="M114" s="638"/>
      <c r="N114" s="657"/>
      <c r="O114" s="253"/>
      <c r="P114" s="960">
        <f>P109/SUM(P102:Q104)</f>
        <v>238.60465116279065</v>
      </c>
      <c r="Q114" s="1046"/>
      <c r="R114" s="1045"/>
      <c r="S114" s="1046"/>
      <c r="T114" s="1045"/>
      <c r="U114" s="253"/>
      <c r="V114" s="960">
        <f>V109/(V103+V104)</f>
        <v>261.75</v>
      </c>
      <c r="W114" s="1046"/>
      <c r="X114" s="1045"/>
      <c r="Y114" s="1046"/>
      <c r="Z114" s="1045"/>
      <c r="AA114" s="59"/>
      <c r="AB114" s="59"/>
      <c r="AC114" s="738"/>
    </row>
    <row r="115" spans="1:29" ht="12" x14ac:dyDescent="0.2">
      <c r="A115" s="583"/>
      <c r="B115" s="890" t="s">
        <v>141</v>
      </c>
      <c r="C115" s="1137">
        <f>C110/C105</f>
        <v>705.24781341107882</v>
      </c>
      <c r="D115" s="1138"/>
      <c r="E115" s="747"/>
      <c r="F115" s="748"/>
      <c r="G115" s="749"/>
      <c r="H115" s="750"/>
      <c r="I115" s="1139">
        <f>I110/I105</f>
        <v>730.19607843137248</v>
      </c>
      <c r="J115" s="1140"/>
      <c r="K115" s="638"/>
      <c r="L115" s="691"/>
      <c r="M115" s="638"/>
      <c r="N115" s="657"/>
      <c r="O115" s="253"/>
      <c r="P115" s="960">
        <f>P110/P105</f>
        <v>556.16379310344826</v>
      </c>
      <c r="Q115" s="1046"/>
      <c r="R115" s="1045"/>
      <c r="S115" s="1046"/>
      <c r="T115" s="1045"/>
      <c r="U115" s="253"/>
      <c r="V115" s="960">
        <f>V110/V105</f>
        <v>514.7697368421052</v>
      </c>
      <c r="W115" s="1046"/>
      <c r="X115" s="1045"/>
      <c r="Y115" s="1046"/>
      <c r="Z115" s="1045"/>
      <c r="AA115" s="59"/>
      <c r="AB115" s="59"/>
      <c r="AC115" s="738"/>
    </row>
    <row r="116" spans="1:29" thickBot="1" x14ac:dyDescent="0.25">
      <c r="A116" s="583"/>
      <c r="B116" s="892" t="s">
        <v>131</v>
      </c>
      <c r="C116" s="1143">
        <f>C111/C106</f>
        <v>569.19945725915875</v>
      </c>
      <c r="D116" s="1144"/>
      <c r="E116" s="751"/>
      <c r="F116" s="752"/>
      <c r="G116" s="753"/>
      <c r="H116" s="754"/>
      <c r="I116" s="1223">
        <f>I111/I106</f>
        <v>548.02702702702697</v>
      </c>
      <c r="J116" s="1224"/>
      <c r="K116" s="655"/>
      <c r="L116" s="658"/>
      <c r="M116" s="655"/>
      <c r="N116" s="658"/>
      <c r="O116" s="301"/>
      <c r="P116" s="962">
        <f>P111/P106</f>
        <v>311.47928994082844</v>
      </c>
      <c r="Q116" s="1047"/>
      <c r="R116" s="1048"/>
      <c r="S116" s="1047"/>
      <c r="T116" s="1048"/>
      <c r="U116" s="301"/>
      <c r="V116" s="962">
        <f>V111/V106</f>
        <v>327.38227146814404</v>
      </c>
      <c r="W116" s="1047"/>
      <c r="X116" s="1048"/>
      <c r="Y116" s="1047"/>
      <c r="Z116" s="1048"/>
      <c r="AA116" s="59"/>
      <c r="AB116" s="59"/>
      <c r="AC116" s="738"/>
    </row>
    <row r="117" spans="1:29" ht="13.5" thickTop="1" x14ac:dyDescent="0.2">
      <c r="B117" s="963" t="s">
        <v>185</v>
      </c>
      <c r="C117" s="1"/>
      <c r="D117" s="1"/>
      <c r="E117" s="1"/>
      <c r="F117" s="1"/>
      <c r="G117" s="245"/>
      <c r="H117" s="245"/>
      <c r="I117" s="245"/>
      <c r="J117" s="245"/>
      <c r="AC117" s="59"/>
    </row>
    <row r="118" spans="1:29" ht="12" x14ac:dyDescent="0.2">
      <c r="C118" s="1"/>
      <c r="D118" s="1"/>
      <c r="E118" s="1"/>
      <c r="F118" s="1"/>
      <c r="G118" s="245"/>
      <c r="H118" s="245"/>
      <c r="I118" s="245"/>
      <c r="J118" s="245"/>
    </row>
    <row r="119" spans="1:29" ht="12" x14ac:dyDescent="0.2">
      <c r="C119" s="1"/>
      <c r="D119" s="1"/>
      <c r="E119" s="1"/>
      <c r="F119" s="1"/>
      <c r="G119" s="245"/>
      <c r="H119" s="245"/>
      <c r="I119" s="245"/>
      <c r="J119" s="245"/>
    </row>
    <row r="120" spans="1:29" ht="12" x14ac:dyDescent="0.2">
      <c r="C120" s="1"/>
      <c r="D120" s="1"/>
      <c r="E120" s="1"/>
      <c r="F120" s="1"/>
      <c r="G120" s="245"/>
      <c r="H120" s="245"/>
      <c r="I120" s="245"/>
      <c r="J120" s="245"/>
      <c r="P120" s="1" t="s">
        <v>26</v>
      </c>
    </row>
    <row r="121" spans="1:29" ht="12" x14ac:dyDescent="0.2">
      <c r="C121" s="1"/>
      <c r="D121" s="1"/>
      <c r="E121" s="1"/>
      <c r="F121" s="1"/>
      <c r="G121" s="245"/>
      <c r="H121" s="245"/>
      <c r="I121" s="245"/>
      <c r="J121" s="245"/>
    </row>
    <row r="122" spans="1:29" ht="12" x14ac:dyDescent="0.2">
      <c r="C122" s="1"/>
      <c r="D122" s="1"/>
      <c r="E122" s="1"/>
      <c r="F122" s="1"/>
      <c r="G122" s="245"/>
      <c r="H122" s="245"/>
      <c r="I122" s="245"/>
      <c r="J122" s="245"/>
    </row>
    <row r="123" spans="1:29" ht="12" x14ac:dyDescent="0.2">
      <c r="C123" s="1"/>
      <c r="D123" s="1"/>
      <c r="E123" s="1"/>
      <c r="F123" s="1"/>
      <c r="G123" s="245"/>
      <c r="H123" s="245"/>
      <c r="I123" s="245"/>
      <c r="J123" s="245"/>
    </row>
    <row r="124" spans="1:29" ht="12" x14ac:dyDescent="0.2">
      <c r="C124" s="1"/>
      <c r="D124" s="1"/>
      <c r="E124" s="1"/>
      <c r="F124" s="1"/>
      <c r="G124" s="245"/>
      <c r="H124" s="245"/>
      <c r="I124" s="245"/>
      <c r="J124" s="245"/>
    </row>
    <row r="125" spans="1:29" ht="12" x14ac:dyDescent="0.2">
      <c r="C125" s="1"/>
      <c r="D125" s="1"/>
      <c r="E125" s="1"/>
      <c r="F125" s="1"/>
      <c r="G125" s="245"/>
      <c r="H125" s="245"/>
      <c r="I125" s="245"/>
      <c r="J125" s="245"/>
    </row>
    <row r="126" spans="1:29" ht="12" x14ac:dyDescent="0.2">
      <c r="C126" s="1"/>
      <c r="D126" s="1"/>
      <c r="E126" s="1"/>
      <c r="F126" s="1"/>
      <c r="G126" s="245"/>
      <c r="H126" s="245"/>
      <c r="I126" s="245"/>
      <c r="J126" s="245"/>
    </row>
    <row r="127" spans="1:29" ht="12" x14ac:dyDescent="0.2">
      <c r="C127" s="1"/>
      <c r="D127" s="1"/>
      <c r="E127" s="1"/>
      <c r="F127" s="1"/>
      <c r="G127" s="245"/>
      <c r="H127" s="245"/>
      <c r="I127" s="245"/>
      <c r="J127" s="245"/>
    </row>
    <row r="128" spans="1:29" ht="12" x14ac:dyDescent="0.2">
      <c r="C128" s="1"/>
      <c r="D128" s="1"/>
      <c r="E128" s="1"/>
      <c r="F128" s="1"/>
      <c r="G128" s="245"/>
      <c r="H128" s="245"/>
      <c r="I128" s="245"/>
      <c r="J128" s="245"/>
    </row>
    <row r="129" spans="3:10" ht="12" x14ac:dyDescent="0.2">
      <c r="C129" s="1"/>
      <c r="D129" s="1"/>
      <c r="E129" s="1"/>
      <c r="F129" s="1"/>
      <c r="G129" s="245"/>
      <c r="H129" s="245"/>
      <c r="I129" s="245"/>
      <c r="J129" s="245"/>
    </row>
    <row r="130" spans="3:10" ht="12" x14ac:dyDescent="0.2">
      <c r="C130" s="1"/>
      <c r="D130" s="1"/>
      <c r="E130" s="1"/>
      <c r="F130" s="1"/>
      <c r="G130" s="245"/>
      <c r="H130" s="245"/>
      <c r="I130" s="245"/>
      <c r="J130" s="245"/>
    </row>
  </sheetData>
  <mergeCells count="117">
    <mergeCell ref="O34:P34"/>
    <mergeCell ref="O64:P64"/>
    <mergeCell ref="AB5:AC5"/>
    <mergeCell ref="AB19:AC19"/>
    <mergeCell ref="AB34:AC34"/>
    <mergeCell ref="Q5:R5"/>
    <mergeCell ref="Q19:R19"/>
    <mergeCell ref="AB64:AC64"/>
    <mergeCell ref="Q64:R64"/>
    <mergeCell ref="S34:T34"/>
    <mergeCell ref="S5:T5"/>
    <mergeCell ref="Q27:R27"/>
    <mergeCell ref="U5:V5"/>
    <mergeCell ref="U19:V19"/>
    <mergeCell ref="U27:V27"/>
    <mergeCell ref="U34:V34"/>
    <mergeCell ref="U64:V64"/>
    <mergeCell ref="W5:X5"/>
    <mergeCell ref="W19:X19"/>
    <mergeCell ref="W27:X27"/>
    <mergeCell ref="W34:X34"/>
    <mergeCell ref="W64:X64"/>
    <mergeCell ref="S19:T19"/>
    <mergeCell ref="S27:T27"/>
    <mergeCell ref="S30:T30"/>
    <mergeCell ref="S64:T64"/>
    <mergeCell ref="C116:D116"/>
    <mergeCell ref="I116:J116"/>
    <mergeCell ref="C114:D114"/>
    <mergeCell ref="I114:J114"/>
    <mergeCell ref="C115:D115"/>
    <mergeCell ref="I115:J115"/>
    <mergeCell ref="C110:D110"/>
    <mergeCell ref="I110:J110"/>
    <mergeCell ref="C111:D111"/>
    <mergeCell ref="I111:J111"/>
    <mergeCell ref="C112:D112"/>
    <mergeCell ref="I112:J112"/>
    <mergeCell ref="C113:D113"/>
    <mergeCell ref="I113:J113"/>
    <mergeCell ref="C106:D106"/>
    <mergeCell ref="I106:J106"/>
    <mergeCell ref="C107:D107"/>
    <mergeCell ref="I107:J107"/>
    <mergeCell ref="C108:D108"/>
    <mergeCell ref="I108:J108"/>
    <mergeCell ref="C109:D109"/>
    <mergeCell ref="I109:J109"/>
    <mergeCell ref="C105:D105"/>
    <mergeCell ref="I105:J105"/>
    <mergeCell ref="C104:D104"/>
    <mergeCell ref="I104:J104"/>
    <mergeCell ref="M99:N99"/>
    <mergeCell ref="E34:F34"/>
    <mergeCell ref="G29:H29"/>
    <mergeCell ref="C34:D34"/>
    <mergeCell ref="C29:D29"/>
    <mergeCell ref="M64:N64"/>
    <mergeCell ref="M30:N30"/>
    <mergeCell ref="M34:N34"/>
    <mergeCell ref="K27:L27"/>
    <mergeCell ref="C99:D99"/>
    <mergeCell ref="E99:F99"/>
    <mergeCell ref="I30:J30"/>
    <mergeCell ref="I34:J34"/>
    <mergeCell ref="K99:L99"/>
    <mergeCell ref="G99:H99"/>
    <mergeCell ref="I99:J99"/>
    <mergeCell ref="K30:L30"/>
    <mergeCell ref="I5:J5"/>
    <mergeCell ref="I19:J19"/>
    <mergeCell ref="G19:H19"/>
    <mergeCell ref="C27:D27"/>
    <mergeCell ref="E27:F27"/>
    <mergeCell ref="G27:H27"/>
    <mergeCell ref="I27:J27"/>
    <mergeCell ref="C19:D19"/>
    <mergeCell ref="C102:D103"/>
    <mergeCell ref="I102:J103"/>
    <mergeCell ref="C101:D101"/>
    <mergeCell ref="I101:J101"/>
    <mergeCell ref="C28:D28"/>
    <mergeCell ref="E28:F28"/>
    <mergeCell ref="I64:J64"/>
    <mergeCell ref="I28:J28"/>
    <mergeCell ref="I29:J29"/>
    <mergeCell ref="G34:H34"/>
    <mergeCell ref="E19:F19"/>
    <mergeCell ref="E29:F29"/>
    <mergeCell ref="C30:D30"/>
    <mergeCell ref="E30:F30"/>
    <mergeCell ref="G30:H30"/>
    <mergeCell ref="G28:H28"/>
    <mergeCell ref="Y5:Z5"/>
    <mergeCell ref="Y19:Z19"/>
    <mergeCell ref="Y27:Z27"/>
    <mergeCell ref="Y34:Z34"/>
    <mergeCell ref="Y64:Z64"/>
    <mergeCell ref="Y99:Z99"/>
    <mergeCell ref="K5:L5"/>
    <mergeCell ref="K19:L19"/>
    <mergeCell ref="K34:L34"/>
    <mergeCell ref="K64:L64"/>
    <mergeCell ref="M5:N5"/>
    <mergeCell ref="M27:N27"/>
    <mergeCell ref="Q99:R99"/>
    <mergeCell ref="M19:N19"/>
    <mergeCell ref="O99:P99"/>
    <mergeCell ref="S99:T99"/>
    <mergeCell ref="Q30:R30"/>
    <mergeCell ref="Q34:R34"/>
    <mergeCell ref="W99:X99"/>
    <mergeCell ref="O5:P5"/>
    <mergeCell ref="O19:P19"/>
    <mergeCell ref="O27:P27"/>
    <mergeCell ref="O30:P30"/>
    <mergeCell ref="U99:V99"/>
  </mergeCells>
  <phoneticPr fontId="0" type="noConversion"/>
  <printOptions horizontalCentered="1"/>
  <pageMargins left="0.5" right="0.5" top="0.5" bottom="0.5" header="0.5" footer="0.5"/>
  <pageSetup scale="68" orientation="landscape" r:id="rId1"/>
  <headerFooter alignWithMargins="0">
    <oddFooter>&amp;R&amp;P of &amp;N
&amp;D</oddFooter>
  </headerFooter>
  <rowBreaks count="1" manualBreakCount="1">
    <brk id="60" max="16383" man="1"/>
  </rowBreaks>
  <ignoredErrors>
    <ignoredError sqref="G74:O93 Q74:Q79 Q81:Q93 S74:S93 U74:U93 W74:Y93" formula="1"/>
    <ignoredError sqref="T74:T93" evalError="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11</vt:i4>
      </vt:variant>
    </vt:vector>
  </HeadingPairs>
  <TitlesOfParts>
    <vt:vector size="17" baseType="lpstr">
      <vt:lpstr>Dean_Bus</vt:lpstr>
      <vt:lpstr>Accounting</vt:lpstr>
      <vt:lpstr>Finance</vt:lpstr>
      <vt:lpstr>Managemt</vt:lpstr>
      <vt:lpstr>Marketing</vt:lpstr>
      <vt:lpstr>bus sum</vt:lpstr>
      <vt:lpstr>Accounting!Print_Area</vt:lpstr>
      <vt:lpstr>'bus sum'!Print_Area</vt:lpstr>
      <vt:lpstr>Dean_Bus!Print_Area</vt:lpstr>
      <vt:lpstr>Finance!Print_Area</vt:lpstr>
      <vt:lpstr>Managemt!Print_Area</vt:lpstr>
      <vt:lpstr>Marketing!Print_Area</vt:lpstr>
      <vt:lpstr>'bus sum'!Print_Titles</vt:lpstr>
      <vt:lpstr>Dean_Bus!Print_Titles</vt:lpstr>
      <vt:lpstr>Finance!Print_Titles</vt:lpstr>
      <vt:lpstr>Managemt!Print_Titles</vt:lpstr>
      <vt:lpstr>Marketing!Print_Titles</vt:lpstr>
    </vt:vector>
  </TitlesOfParts>
  <Company>Computing &amp; Network Services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Kelli Cox</dc:creator>
  <cp:lastModifiedBy>NancyBaker</cp:lastModifiedBy>
  <cp:lastPrinted>2014-12-18T20:18:49Z</cp:lastPrinted>
  <dcterms:created xsi:type="dcterms:W3CDTF">1998-07-17T14:55:11Z</dcterms:created>
  <dcterms:modified xsi:type="dcterms:W3CDTF">2014-12-18T20:19:10Z</dcterms:modified>
</cp:coreProperties>
</file>